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0560" tabRatio="890" firstSheet="3" activeTab="6"/>
  </bookViews>
  <sheets>
    <sheet name="6#7#" sheetId="18" state="hidden" r:id="rId1"/>
    <sheet name="项目投资概算及资金来源表" sheetId="11" state="hidden" r:id="rId2"/>
    <sheet name="造价服务及招标代理" sheetId="3" state="hidden" r:id="rId3"/>
    <sheet name="1金山区枫泾镇团新村" sheetId="39" r:id="rId4"/>
    <sheet name="2金山区枫泾镇卫星村" sheetId="35" r:id="rId5"/>
    <sheet name="3金山区朱泾镇温河村" sheetId="37" r:id="rId6"/>
    <sheet name="4金山区亭林镇驳岸村" sheetId="36" r:id="rId7"/>
    <sheet name="5金山区枫泾镇后岗村 " sheetId="40" r:id="rId8"/>
    <sheet name="6上海湾区高新区欢兴村" sheetId="38" r:id="rId9"/>
  </sheets>
  <externalReferences>
    <externalReference r:id="rId10"/>
    <externalReference r:id="rId11"/>
    <externalReference r:id="rId12"/>
    <externalReference r:id="rId13"/>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workbook>
</file>

<file path=xl/sharedStrings.xml><?xml version="1.0" encoding="utf-8"?>
<sst xmlns="http://schemas.openxmlformats.org/spreadsheetml/2006/main" count="1031" uniqueCount="389">
  <si>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</si>
  <si>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</si>
  <si>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</si>
  <si>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</si>
  <si>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</si>
  <si>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</si>
  <si>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</si>
  <si>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</si>
  <si>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</si>
  <si>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</si>
  <si>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</si>
  <si>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</si>
  <si>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</si>
  <si>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</si>
  <si>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</si>
  <si>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</si>
  <si>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</si>
  <si>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</si>
  <si>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</si>
  <si>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</si>
  <si>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</si>
  <si>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</si>
  <si>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</si>
  <si>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</si>
  <si>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</si>
  <si>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</si>
  <si>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</si>
  <si>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</si>
  <si>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</si>
  <si>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</si>
  <si>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</si>
  <si>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</si>
  <si>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</si>
  <si>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</si>
  <si>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</si>
  <si>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</si>
  <si>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</si>
  <si>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</si>
  <si>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</si>
  <si>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</si>
  <si>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</si>
  <si>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</si>
  <si>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</si>
  <si>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</si>
  <si>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</si>
  <si>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</si>
  <si>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</si>
  <si>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</si>
  <si>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</si>
  <si>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</si>
  <si>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</si>
  <si>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</si>
  <si>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</si>
  <si>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</si>
  <si>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</si>
  <si>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</si>
  <si>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</si>
  <si>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</si>
  <si>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</si>
  <si>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</si>
  <si>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</si>
  <si>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</si>
  <si>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</si>
  <si>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</si>
  <si>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</si>
  <si>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</si>
  <si>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</si>
  <si>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</si>
  <si>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</si>
  <si>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</si>
  <si>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</si>
  <si>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</si>
  <si>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</si>
  <si>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</si>
  <si>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</si>
  <si>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</si>
  <si>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</si>
  <si>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</si>
  <si>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</si>
  <si>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</si>
  <si>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</si>
  <si>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</si>
  <si>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</si>
  <si>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</si>
  <si>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</si>
  <si>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</si>
  <si>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</si>
  <si>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</si>
  <si>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</si>
  <si>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</si>
  <si>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</si>
  <si>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</si>
  <si>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</si>
  <si>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</si>
  <si>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</si>
  <si>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</si>
  <si>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</si>
  <si>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</si>
  <si>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</si>
  <si>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</si>
  <si>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</si>
  <si>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</si>
  <si>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</si>
  <si>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</si>
  <si>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</si>
  <si>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</si>
  <si>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</si>
  <si>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</si>
  <si>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</si>
  <si>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</si>
  <si>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</si>
  <si>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</si>
  <si>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</si>
  <si>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</si>
  <si>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</si>
  <si>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</si>
  <si>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</si>
  <si>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</si>
  <si>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</si>
  <si>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</si>
  <si>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</si>
  <si>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</si>
  <si>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</si>
  <si>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</si>
  <si>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</si>
  <si>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</si>
  <si>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</si>
  <si>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</si>
  <si>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</si>
  <si>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</si>
  <si>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</si>
  <si>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</si>
  <si>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</si>
  <si>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</si>
  <si>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</si>
  <si>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</si>
  <si>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</si>
  <si>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</si>
  <si>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</si>
  <si>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</si>
  <si>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</si>
  <si>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</si>
  <si>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</si>
  <si>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</si>
  <si>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</si>
  <si>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</si>
  <si>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</si>
  <si>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</si>
  <si>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</si>
  <si>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</si>
  <si>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</si>
  <si>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</si>
  <si>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</si>
  <si>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</si>
  <si>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</si>
  <si>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</si>
  <si>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</si>
  <si>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</si>
  <si>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</si>
  <si>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</si>
  <si>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</si>
  <si>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</si>
  <si>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</si>
  <si>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</si>
  <si>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</si>
  <si>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</si>
  <si>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</si>
  <si>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</si>
  <si>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</si>
  <si>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</si>
  <si>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</si>
  <si>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</si>
  <si>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</si>
  <si>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</si>
  <si>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</si>
  <si>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</si>
  <si>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</si>
  <si>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</si>
  <si>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</si>
  <si>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</si>
  <si>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</si>
  <si>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</si>
  <si>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</si>
  <si>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金山区枫泾镇团新村高标准农田建设项目(新建）投资明细表</t>
  </si>
  <si>
    <t>投资明细内容</t>
  </si>
  <si>
    <t>合计    （万元）</t>
  </si>
  <si>
    <t>工程费用</t>
  </si>
  <si>
    <t>（一）</t>
  </si>
  <si>
    <t>（二）</t>
  </si>
  <si>
    <t>灌溉与排水工程</t>
  </si>
  <si>
    <t>改建泵站</t>
  </si>
  <si>
    <t>泵站土建（改建）</t>
  </si>
  <si>
    <t>泵站土建（新建）</t>
  </si>
  <si>
    <t>泵站设备（改建）</t>
  </si>
  <si>
    <t>泵站设备（新建）</t>
  </si>
  <si>
    <t>施工围堰（土围堰）</t>
  </si>
  <si>
    <t>新建灌溉设施</t>
  </si>
  <si>
    <t>灌溉管道DN160</t>
  </si>
  <si>
    <t>灌溉管道DN200</t>
  </si>
  <si>
    <t>灌溉管道DN250</t>
  </si>
  <si>
    <t>灌溉管道DN350</t>
  </si>
  <si>
    <t xml:space="preserve">灌溉管道DN400 </t>
  </si>
  <si>
    <t>管道三通、四通等配件</t>
  </si>
  <si>
    <t>给水栓</t>
  </si>
  <si>
    <t>个</t>
  </si>
  <si>
    <t>闸阀井</t>
  </si>
  <si>
    <t>倒虹吸DN350（12m）</t>
  </si>
  <si>
    <t>倒虹吸DN400（5m）</t>
  </si>
  <si>
    <t>倒虹吸DN160（5m）</t>
  </si>
  <si>
    <t>（12）</t>
  </si>
  <si>
    <t>过路管道DN500</t>
  </si>
  <si>
    <t>新建排水工程</t>
  </si>
  <si>
    <t>排水沟</t>
  </si>
  <si>
    <t>田间排水口</t>
  </si>
  <si>
    <t>（三）</t>
  </si>
  <si>
    <t>田间机耕道</t>
  </si>
  <si>
    <t>机耕道破损修复</t>
  </si>
  <si>
    <t>m2</t>
  </si>
  <si>
    <t>机耕道破路恢复</t>
  </si>
  <si>
    <t>工程建设其他费用</t>
  </si>
  <si>
    <t>测绘费</t>
  </si>
  <si>
    <t>标识标牌</t>
  </si>
  <si>
    <t>工程建设监理费</t>
  </si>
  <si>
    <t>施工监理</t>
  </si>
  <si>
    <t>财务监理</t>
  </si>
  <si>
    <t>招标费</t>
  </si>
  <si>
    <t>勘测费</t>
  </si>
  <si>
    <t>设计费</t>
  </si>
  <si>
    <t>工程总投资</t>
  </si>
  <si>
    <t>附件2</t>
  </si>
  <si>
    <t>金山区枫泾镇卫星村高标准农田建设项目(新建）投资明细表</t>
  </si>
  <si>
    <t>灌溉和排水</t>
  </si>
  <si>
    <t>新建泵站（双泵）</t>
  </si>
  <si>
    <t>泵站土建</t>
  </si>
  <si>
    <t>泵站设备（300HDB-7B）</t>
  </si>
  <si>
    <t>(3)</t>
  </si>
  <si>
    <t>施工围堰</t>
  </si>
  <si>
    <t>De630UPVC管</t>
  </si>
  <si>
    <t>De500UPVC管</t>
  </si>
  <si>
    <t>De400UPVC管</t>
  </si>
  <si>
    <t>De315UPVC管</t>
  </si>
  <si>
    <t>De250UPVC管</t>
  </si>
  <si>
    <t>De160UPVC管</t>
  </si>
  <si>
    <t>管道配件</t>
  </si>
  <si>
    <t>PE倒虹管（牵引）DN630SDR17</t>
  </si>
  <si>
    <t>De630倒虹吸 窨井</t>
  </si>
  <si>
    <t>PE倒虹管（牵引）DN500SDR17</t>
  </si>
  <si>
    <t>De500倒虹吸 窨井</t>
  </si>
  <si>
    <t>阀门井De400手动蝶阀</t>
  </si>
  <si>
    <t>阀门井De315手动蝶阀</t>
  </si>
  <si>
    <t>阀门井De250手动蝶阀</t>
  </si>
  <si>
    <t>干管检修排水阀门井De250手动蝶阀</t>
  </si>
  <si>
    <t>处</t>
  </si>
  <si>
    <t>0.9m 梯形渠道 定型产品</t>
  </si>
  <si>
    <t>0.7m 梯形渠道 定型产品</t>
  </si>
  <si>
    <t>排水沟过路管（两侧墙+5米管道）</t>
  </si>
  <si>
    <t>排水入河口 侧墙及护底</t>
  </si>
  <si>
    <t>排水沟入河口（DN500HDPE双壁波纹管）</t>
  </si>
  <si>
    <t>土围堰（排水沟入河口）</t>
  </si>
  <si>
    <t>田间道路</t>
  </si>
  <si>
    <t>新建2.5m宽混凝土道路</t>
  </si>
  <si>
    <t>道路修复（管道过路）</t>
  </si>
  <si>
    <t>农田输配电工程</t>
  </si>
  <si>
    <t>低压线路（双泵）</t>
  </si>
  <si>
    <t>电线杆（9米长）</t>
  </si>
  <si>
    <t>根</t>
  </si>
  <si>
    <t xml:space="preserve"> </t>
  </si>
  <si>
    <t>附件3：</t>
  </si>
  <si>
    <t>金山区朱泾镇温河村高标准农田建设项目(新建）投资明细表</t>
  </si>
  <si>
    <t>翻建双泵站</t>
  </si>
  <si>
    <t>泵房及管理房</t>
  </si>
  <si>
    <t>泵站设备</t>
  </si>
  <si>
    <t>泵站围网</t>
  </si>
  <si>
    <t>灌溉设施购置</t>
  </si>
  <si>
    <t>新建地下渠道dn800PVC-U实壁管</t>
  </si>
  <si>
    <t>新建地下渠道dn630PVC-U实壁管</t>
  </si>
  <si>
    <t>新建地下渠道dn400PVC-U实壁管</t>
  </si>
  <si>
    <t>新建放水口（单向）</t>
  </si>
  <si>
    <t>a</t>
  </si>
  <si>
    <t>单向</t>
  </si>
  <si>
    <t>b</t>
  </si>
  <si>
    <t>双向</t>
  </si>
  <si>
    <t>连接井1000×1000</t>
  </si>
  <si>
    <t>连接井800×800</t>
  </si>
  <si>
    <t>连接井600×600</t>
  </si>
  <si>
    <t>连接井600×600退水</t>
  </si>
  <si>
    <t>DN630 HDPE拖拉管</t>
  </si>
  <si>
    <t>DN800倒虹吸 HDPE拖拉管</t>
  </si>
  <si>
    <t>倒虹吸 窨井（管径＞500）</t>
  </si>
  <si>
    <t>排水系统</t>
  </si>
  <si>
    <t>U型衬砌明沟0.75×0.8</t>
  </si>
  <si>
    <t>过沟板</t>
  </si>
  <si>
    <t>块</t>
  </si>
  <si>
    <t>穿路涵洞</t>
  </si>
  <si>
    <t>排水沟入河口</t>
  </si>
  <si>
    <t>新建3.0m宽砼路</t>
  </si>
  <si>
    <t>（四）</t>
  </si>
  <si>
    <t>农田配电工程</t>
  </si>
  <si>
    <t>低压输电线路</t>
  </si>
  <si>
    <t>米</t>
  </si>
  <si>
    <t>附件4：</t>
  </si>
  <si>
    <t>金山区亭林镇驳岸村高标准农田建设项目(新建）投资明细表</t>
  </si>
  <si>
    <t>田块整治</t>
  </si>
  <si>
    <t>田块修筑</t>
  </si>
  <si>
    <t>灌溉排水与节水设施</t>
  </si>
  <si>
    <t>新建灌溉泵站</t>
  </si>
  <si>
    <t>新建灌溉泵站 单泵</t>
  </si>
  <si>
    <t>新建灌溉泵站 双泵</t>
  </si>
  <si>
    <t>PVC-U管  DN630</t>
  </si>
  <si>
    <t>PVC-U管  DN500</t>
  </si>
  <si>
    <t>PVC-U管  DN400</t>
  </si>
  <si>
    <t>PVC-U管  DN315</t>
  </si>
  <si>
    <t>PVC-U管  DN250</t>
  </si>
  <si>
    <t>PVC-U管  DN160</t>
  </si>
  <si>
    <t>闸阀井  1800*1400</t>
  </si>
  <si>
    <t>闸阀井  1200*1000</t>
  </si>
  <si>
    <t>泄水井</t>
  </si>
  <si>
    <t>DN630UPVC 管过路</t>
  </si>
  <si>
    <t>DN500UPVC 管过路</t>
  </si>
  <si>
    <t>（13）</t>
  </si>
  <si>
    <t>DN400UPVC 管过路</t>
  </si>
  <si>
    <t>（14）</t>
  </si>
  <si>
    <t>DN315UPVC 管过路</t>
  </si>
  <si>
    <t>（15）</t>
  </si>
  <si>
    <t>DN250UPVC 管过路</t>
  </si>
  <si>
    <t>（16）</t>
  </si>
  <si>
    <t>DN500 倒虹吸 PE 管（拖拉管）</t>
  </si>
  <si>
    <t>（17）</t>
  </si>
  <si>
    <t>DN315 倒虹吸 PE 管（拖拉管）</t>
  </si>
  <si>
    <t>（18）</t>
  </si>
  <si>
    <t>DN250 倒虹吸 PE 管（拖拉管）</t>
  </si>
  <si>
    <t>（19）</t>
  </si>
  <si>
    <t>倒虹吸 窨井</t>
  </si>
  <si>
    <t>穿路涵管</t>
  </si>
  <si>
    <t>新建3.0宽砼道路</t>
  </si>
  <si>
    <t>扩建砼道路</t>
  </si>
  <si>
    <t>下田坡道</t>
  </si>
  <si>
    <t>道路修复（管道及排水沟过路）</t>
  </si>
  <si>
    <t>农田输配电</t>
  </si>
  <si>
    <t>配电箱</t>
  </si>
  <si>
    <t>电线杆  9.0m长</t>
  </si>
  <si>
    <t>附件5：</t>
  </si>
  <si>
    <t>金山区亭林镇后岗村高标准农田建设项目(新建）投资明细表</t>
  </si>
  <si>
    <t>土地细部平整</t>
  </si>
  <si>
    <t>新建泵站</t>
  </si>
  <si>
    <t>泵站设备（A区）</t>
  </si>
  <si>
    <t>泵站设备（B区）</t>
  </si>
  <si>
    <t>泵站设备（C区）</t>
  </si>
  <si>
    <t>泵站设备（D区）</t>
  </si>
  <si>
    <t>泵站设备（E区）</t>
  </si>
  <si>
    <t>泵站设备（F区）</t>
  </si>
  <si>
    <t>泵站设备（G区）</t>
  </si>
  <si>
    <t>灌溉管道 dn110</t>
  </si>
  <si>
    <t>灌溉管道 dn160</t>
  </si>
  <si>
    <t>灌溉管道 dn200</t>
  </si>
  <si>
    <t>灌溉管道 dn250</t>
  </si>
  <si>
    <t>灌溉管道 dn355</t>
  </si>
  <si>
    <t>灌溉管道 dn400</t>
  </si>
  <si>
    <t>灌溉管道 dn500</t>
  </si>
  <si>
    <t>闸阀井300</t>
  </si>
  <si>
    <t>倒虹吸（12m）</t>
  </si>
  <si>
    <t>倒虹吸（9.5m）</t>
  </si>
  <si>
    <t>排水工程</t>
  </si>
  <si>
    <t>生态明沟</t>
  </si>
  <si>
    <t>排水明沟</t>
  </si>
  <si>
    <t>生态入河口</t>
  </si>
  <si>
    <t>其他工程</t>
  </si>
  <si>
    <t>仓库翻建</t>
  </si>
  <si>
    <t>水泥场地</t>
  </si>
  <si>
    <t>智慧水利</t>
  </si>
  <si>
    <t>附件6：</t>
  </si>
  <si>
    <t>金山区高新区欢兴村高标准农田建设项目(新建）投资明细表</t>
  </si>
  <si>
    <t>翻建单泵站</t>
  </si>
  <si>
    <t>设备更新</t>
  </si>
  <si>
    <t>泵站设备更新</t>
  </si>
  <si>
    <t>泵站维修</t>
  </si>
  <si>
    <t>泵站建筑维修</t>
  </si>
  <si>
    <t>PVC-U管过路</t>
  </si>
  <si>
    <t>连接井600×600（末端）</t>
  </si>
  <si>
    <t>DN630倒虹吸 HDPE拖拉管</t>
  </si>
  <si>
    <t>DN400倒虹吸 HDPE拖拉管</t>
  </si>
  <si>
    <t>倒虹吸 窨井（管径＜500）</t>
  </si>
  <si>
    <t>新建2.5m宽砼路</t>
  </si>
  <si>
    <t>翻建2.5m宽砼路</t>
  </si>
  <si>
    <t>m3</t>
  </si>
  <si>
    <t>翻建3.0m宽砼路</t>
  </si>
  <si>
    <t>拓宽3.0m宽砼路</t>
  </si>
  <si>
    <t>6</t>
  </si>
  <si>
    <t>破路修复</t>
  </si>
</sst>
</file>

<file path=xl/styles.xml><?xml version="1.0" encoding="utf-8"?>
<styleSheet xmlns="http://schemas.openxmlformats.org/spreadsheetml/2006/main">
  <numFmts count="11">
    <numFmt numFmtId="176" formatCode="0.000000000000_ "/>
    <numFmt numFmtId="177" formatCode="0.00_);[Red]\(0.00\)"/>
    <numFmt numFmtId="178" formatCode="0.00_);\(0.00\)"/>
    <numFmt numFmtId="179" formatCode="0_);[Red]\(0\)"/>
    <numFmt numFmtId="180" formatCode="0.00_ "/>
    <numFmt numFmtId="43" formatCode="_ * #,##0.00_ ;_ * \-#,##0.00_ ;_ * &quot;-&quot;??_ ;_ @_ "/>
    <numFmt numFmtId="44" formatCode="_ &quot;￥&quot;* #,##0.00_ ;_ &quot;￥&quot;* \-#,##0.00_ ;_ &quot;￥&quot;* &quot;-&quot;??_ ;_ @_ "/>
    <numFmt numFmtId="181" formatCode="0.00;[Red]0.00"/>
    <numFmt numFmtId="42" formatCode="_ &quot;￥&quot;* #,##0_ ;_ &quot;￥&quot;* \-#,##0_ ;_ &quot;￥&quot;* &quot;-&quot;_ ;_ @_ "/>
    <numFmt numFmtId="182" formatCode="0.0_ "/>
    <numFmt numFmtId="41" formatCode="_ * #,##0_ ;_ * \-#,##0_ ;_ * &quot;-&quot;_ ;_ @_ "/>
  </numFmts>
  <fonts count="50">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9"/>
      <name val="宋体"/>
      <charset val="134"/>
    </font>
    <font>
      <b/>
      <sz val="11"/>
      <color theme="1"/>
      <name val="宋体"/>
      <charset val="134"/>
    </font>
    <font>
      <b/>
      <sz val="9"/>
      <color rgb="FF000000"/>
      <name val="宋体"/>
      <charset val="134"/>
    </font>
    <font>
      <b/>
      <sz val="9"/>
      <color theme="1"/>
      <name val="宋体"/>
      <charset val="134"/>
    </font>
    <font>
      <sz val="9"/>
      <color rgb="FF000000"/>
      <name val="宋体"/>
      <charset val="134"/>
    </font>
    <font>
      <sz val="9"/>
      <color theme="1"/>
      <name val="宋体"/>
      <charset val="134"/>
    </font>
    <font>
      <sz val="9"/>
      <color theme="0"/>
      <name val="宋体"/>
      <charset val="134"/>
    </font>
    <font>
      <b/>
      <sz val="10"/>
      <name val="宋体"/>
      <charset val="134"/>
    </font>
    <font>
      <b/>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rgb="FFFFFFFF"/>
      <name val="宋体"/>
      <charset val="0"/>
      <scheme val="minor"/>
    </font>
    <font>
      <sz val="12"/>
      <color theme="1"/>
      <name val="宋体"/>
      <charset val="134"/>
    </font>
    <font>
      <sz val="11"/>
      <color rgb="FF006100"/>
      <name val="宋体"/>
      <charset val="0"/>
      <scheme val="minor"/>
    </font>
    <font>
      <u/>
      <sz val="11"/>
      <color rgb="FF0000FF"/>
      <name val="宋体"/>
      <charset val="0"/>
      <scheme val="minor"/>
    </font>
    <font>
      <b/>
      <sz val="13"/>
      <color theme="3"/>
      <name val="宋体"/>
      <charset val="134"/>
      <scheme val="minor"/>
    </font>
    <font>
      <b/>
      <sz val="11"/>
      <color theme="1"/>
      <name val="宋体"/>
      <charset val="0"/>
      <scheme val="minor"/>
    </font>
    <font>
      <sz val="10"/>
      <color indexed="8"/>
      <name val="Arial"/>
      <charset val="134"/>
    </font>
    <font>
      <b/>
      <sz val="15"/>
      <color theme="3"/>
      <name val="宋体"/>
      <charset val="134"/>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9"/>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medium">
        <color rgb="FF000000"/>
      </left>
      <right style="medium">
        <color rgb="FF000000"/>
      </right>
      <top style="medium">
        <color rgb="FF000000"/>
      </top>
      <bottom style="medium">
        <color rgb="FF000000"/>
      </bottom>
      <diagonal/>
    </border>
    <border>
      <left/>
      <right/>
      <top/>
      <bottom style="thin">
        <color auto="true"/>
      </bottom>
      <diagonal/>
    </border>
    <border>
      <left style="medium">
        <color rgb="FF000000"/>
      </left>
      <right style="medium">
        <color rgb="FF000000"/>
      </right>
      <top style="medium">
        <color rgb="FF000000"/>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style="thin">
        <color auto="true"/>
      </top>
      <bottom style="thin">
        <color auto="true"/>
      </bottom>
      <diagonal/>
    </border>
    <border>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64">
    <xf numFmtId="0" fontId="0" fillId="0" borderId="0">
      <alignment vertical="center"/>
    </xf>
    <xf numFmtId="0" fontId="1" fillId="0" borderId="0">
      <alignment vertical="center"/>
    </xf>
    <xf numFmtId="0" fontId="1" fillId="0" borderId="0">
      <alignment vertical="center"/>
    </xf>
    <xf numFmtId="0" fontId="1" fillId="0" borderId="0"/>
    <xf numFmtId="0" fontId="37" fillId="0" borderId="0"/>
    <xf numFmtId="0" fontId="0" fillId="0" borderId="0">
      <alignment vertical="center"/>
    </xf>
    <xf numFmtId="0" fontId="27" fillId="2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 fillId="0" borderId="0"/>
    <xf numFmtId="0" fontId="26" fillId="23"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7" fillId="35"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41" fillId="0" borderId="2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0" fillId="0" borderId="1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0" borderId="0">
      <alignment vertical="center"/>
    </xf>
    <xf numFmtId="0" fontId="26" fillId="3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32" borderId="0" applyNumberFormat="false" applyBorder="false" applyAlignment="false" applyProtection="false">
      <alignment vertical="center"/>
    </xf>
    <xf numFmtId="0" fontId="42" fillId="0" borderId="0"/>
    <xf numFmtId="0" fontId="26" fillId="33"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27"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34" borderId="0" applyNumberFormat="false" applyBorder="false" applyAlignment="false" applyProtection="false">
      <alignment vertical="center"/>
    </xf>
    <xf numFmtId="0" fontId="44" fillId="15" borderId="17" applyNumberFormat="false" applyAlignment="false" applyProtection="false">
      <alignment vertical="center"/>
    </xf>
    <xf numFmtId="0" fontId="4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6" fillId="3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 fillId="0" borderId="0"/>
    <xf numFmtId="0" fontId="26" fillId="16" borderId="0" applyNumberFormat="false" applyBorder="false" applyAlignment="false" applyProtection="false">
      <alignment vertical="center"/>
    </xf>
    <xf numFmtId="0" fontId="33" fillId="19" borderId="17" applyNumberFormat="false" applyAlignment="false" applyProtection="false">
      <alignment vertical="center"/>
    </xf>
    <xf numFmtId="0" fontId="32" fillId="15" borderId="15" applyNumberFormat="false" applyAlignment="false" applyProtection="false">
      <alignment vertical="center"/>
    </xf>
    <xf numFmtId="0" fontId="36" fillId="28" borderId="18" applyNumberFormat="false" applyAlignment="false" applyProtection="false">
      <alignment vertical="center"/>
    </xf>
    <xf numFmtId="0" fontId="1" fillId="0" borderId="0">
      <alignment vertical="center"/>
    </xf>
    <xf numFmtId="0" fontId="0" fillId="0" borderId="0">
      <alignment vertical="center"/>
    </xf>
    <xf numFmtId="0" fontId="31" fillId="0" borderId="14" applyNumberFormat="false" applyFill="false" applyAlignment="false" applyProtection="false">
      <alignment vertical="center"/>
    </xf>
    <xf numFmtId="0" fontId="26" fillId="25" borderId="0" applyNumberFormat="false" applyBorder="false" applyAlignment="false" applyProtection="false">
      <alignment vertical="center"/>
    </xf>
    <xf numFmtId="0" fontId="1" fillId="0" borderId="0">
      <alignment vertical="center"/>
    </xf>
    <xf numFmtId="0" fontId="26" fillId="14" borderId="0" applyNumberFormat="false" applyBorder="false" applyAlignment="false" applyProtection="false">
      <alignment vertical="center"/>
    </xf>
    <xf numFmtId="0" fontId="0" fillId="13" borderId="13"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38" fillId="2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6" fillId="21"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 fillId="0" borderId="0"/>
    <xf numFmtId="0" fontId="34" fillId="2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7" fillId="9" borderId="0" applyNumberFormat="false" applyBorder="false" applyAlignment="false" applyProtection="false">
      <alignment vertical="center"/>
    </xf>
    <xf numFmtId="0" fontId="1" fillId="0" borderId="0"/>
    <xf numFmtId="0" fontId="1" fillId="0" borderId="0"/>
    <xf numFmtId="0" fontId="26"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6" fillId="6" borderId="0" applyNumberFormat="false" applyBorder="false" applyAlignment="false" applyProtection="false">
      <alignment vertical="center"/>
    </xf>
  </cellStyleXfs>
  <cellXfs count="134">
    <xf numFmtId="0" fontId="0" fillId="0" borderId="0" xfId="0">
      <alignment vertical="center"/>
    </xf>
    <xf numFmtId="49" fontId="1" fillId="0" borderId="0" xfId="0" applyNumberFormat="true" applyFont="true" applyFill="true">
      <alignment vertical="center"/>
    </xf>
    <xf numFmtId="0" fontId="2" fillId="0" borderId="0" xfId="0" applyFont="true" applyFill="true" applyAlignment="true">
      <alignment horizontal="left" vertical="center"/>
    </xf>
    <xf numFmtId="0" fontId="2" fillId="0" borderId="0" xfId="0" applyFont="true" applyFill="true" applyAlignment="true">
      <alignment horizontal="center" vertical="center"/>
    </xf>
    <xf numFmtId="0" fontId="2" fillId="0" borderId="0" xfId="0" applyFont="true" applyFill="true">
      <alignment vertical="center"/>
    </xf>
    <xf numFmtId="49" fontId="3" fillId="0" borderId="0" xfId="0" applyNumberFormat="true" applyFont="true" applyAlignment="true">
      <alignment horizontal="center" vertical="center"/>
    </xf>
    <xf numFmtId="0" fontId="4" fillId="0" borderId="1" xfId="0" applyFont="true" applyFill="true" applyBorder="true" applyAlignment="true">
      <alignment horizontal="center" vertical="center"/>
    </xf>
    <xf numFmtId="0" fontId="5" fillId="0" borderId="1" xfId="5" applyFont="true" applyFill="true" applyBorder="true" applyAlignment="true">
      <alignment horizontal="center" vertical="center" wrapText="true"/>
    </xf>
    <xf numFmtId="0" fontId="6" fillId="0" borderId="1" xfId="21" applyFont="true" applyFill="true" applyBorder="true" applyAlignment="true">
      <alignment horizontal="center" vertical="center" wrapText="true"/>
    </xf>
    <xf numFmtId="0" fontId="7" fillId="0" borderId="1" xfId="21" applyFont="true" applyFill="true" applyBorder="true" applyAlignment="true">
      <alignment horizontal="center" vertical="center" wrapText="true"/>
    </xf>
    <xf numFmtId="0" fontId="5" fillId="0" borderId="0" xfId="0" applyFont="true" applyFill="true" applyAlignment="true">
      <alignment horizontal="center" vertical="center"/>
    </xf>
    <xf numFmtId="182" fontId="8" fillId="0" borderId="1" xfId="21" applyNumberFormat="true" applyFont="true" applyFill="true" applyBorder="true" applyAlignment="true">
      <alignment horizontal="center" vertical="center" wrapText="true"/>
    </xf>
    <xf numFmtId="0" fontId="5" fillId="0" borderId="1" xfId="21" applyFont="true" applyFill="true" applyBorder="true" applyAlignment="true">
      <alignment horizontal="center" vertical="center"/>
    </xf>
    <xf numFmtId="0" fontId="5" fillId="0" borderId="1" xfId="21" applyFont="true" applyFill="true" applyBorder="true" applyAlignment="true">
      <alignment horizontal="center" vertical="center" wrapText="true"/>
    </xf>
    <xf numFmtId="0" fontId="8" fillId="0" borderId="1" xfId="21" applyFont="true" applyFill="true" applyBorder="true" applyAlignment="true">
      <alignment horizontal="center" vertical="center"/>
    </xf>
    <xf numFmtId="0" fontId="2" fillId="0" borderId="1" xfId="21" applyFont="true" applyFill="true" applyBorder="true" applyAlignment="true">
      <alignment horizontal="center" vertical="center"/>
    </xf>
    <xf numFmtId="0" fontId="2" fillId="0" borderId="1" xfId="21" applyFont="true" applyFill="true" applyBorder="true" applyAlignment="true">
      <alignment horizontal="center" vertical="center" wrapText="true"/>
    </xf>
    <xf numFmtId="0" fontId="9" fillId="0" borderId="1" xfId="21" applyFont="true" applyFill="true" applyBorder="true" applyAlignment="true">
      <alignment horizontal="center" vertical="center" wrapText="true"/>
    </xf>
    <xf numFmtId="0" fontId="10" fillId="0" borderId="1" xfId="21" applyFont="true" applyFill="true" applyBorder="true" applyAlignment="true">
      <alignment horizontal="center" vertical="center"/>
    </xf>
    <xf numFmtId="49" fontId="2" fillId="0" borderId="1" xfId="42" applyNumberFormat="true" applyFont="true" applyFill="true" applyBorder="true" applyAlignment="true">
      <alignment horizontal="center" vertical="center"/>
    </xf>
    <xf numFmtId="0" fontId="2" fillId="0" borderId="1" xfId="42"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180" fontId="2" fillId="0" borderId="1"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xf>
    <xf numFmtId="0" fontId="5" fillId="0" borderId="1" xfId="59" applyFont="true" applyFill="true" applyBorder="true" applyAlignment="true">
      <alignment horizontal="center" vertical="center" wrapText="true"/>
    </xf>
    <xf numFmtId="0" fontId="5" fillId="0" borderId="1" xfId="59"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2" fillId="0" borderId="1" xfId="59" applyFont="true" applyFill="true" applyBorder="true" applyAlignment="true">
      <alignment horizontal="center" vertical="center" wrapText="true"/>
    </xf>
    <xf numFmtId="0" fontId="2" fillId="0" borderId="1" xfId="59" applyFont="true" applyFill="true" applyBorder="true" applyAlignment="true">
      <alignment horizontal="center" vertical="center"/>
    </xf>
    <xf numFmtId="2" fontId="2"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180" fontId="7" fillId="0" borderId="1" xfId="21" applyNumberFormat="true" applyFont="true" applyFill="true" applyBorder="true" applyAlignment="true">
      <alignment horizontal="center" vertical="center" wrapText="true"/>
    </xf>
    <xf numFmtId="181" fontId="5" fillId="0" borderId="1" xfId="59" applyNumberFormat="true" applyFont="true" applyFill="true" applyBorder="true" applyAlignment="true">
      <alignment horizontal="center" vertical="center"/>
    </xf>
    <xf numFmtId="179" fontId="5" fillId="0" borderId="1" xfId="0" applyNumberFormat="true" applyFont="true" applyFill="true" applyBorder="true" applyAlignment="true">
      <alignment horizontal="center" vertical="center" wrapText="true"/>
    </xf>
    <xf numFmtId="178" fontId="8" fillId="0" borderId="1" xfId="21" applyNumberFormat="true" applyFont="true" applyFill="true" applyBorder="true" applyAlignment="true">
      <alignment horizontal="center" vertical="center"/>
    </xf>
    <xf numFmtId="178" fontId="10" fillId="0" borderId="1" xfId="21" applyNumberFormat="true" applyFont="true" applyFill="true" applyBorder="true" applyAlignment="true">
      <alignment horizontal="center" vertical="center"/>
    </xf>
    <xf numFmtId="181" fontId="2" fillId="0" borderId="1" xfId="59" applyNumberFormat="true" applyFont="true" applyFill="true" applyBorder="true" applyAlignment="true">
      <alignment horizontal="center" vertical="center"/>
    </xf>
    <xf numFmtId="177" fontId="5" fillId="0" borderId="1" xfId="0" applyNumberFormat="true" applyFont="true" applyFill="true" applyBorder="true" applyAlignment="true">
      <alignment horizontal="center" vertical="center" wrapText="true"/>
    </xf>
    <xf numFmtId="177" fontId="2" fillId="0" borderId="1" xfId="0" applyNumberFormat="true" applyFont="true" applyFill="true" applyBorder="true" applyAlignment="true">
      <alignment horizontal="center" vertical="center" wrapText="true"/>
    </xf>
    <xf numFmtId="0" fontId="5" fillId="0" borderId="1" xfId="5" applyFont="true" applyFill="true" applyBorder="true" applyAlignment="true">
      <alignment horizontal="left" vertical="center" wrapText="true"/>
    </xf>
    <xf numFmtId="49" fontId="2" fillId="0" borderId="1" xfId="21" applyNumberFormat="true" applyFont="true" applyFill="true" applyBorder="true" applyAlignment="true">
      <alignment horizontal="center" vertical="center"/>
    </xf>
    <xf numFmtId="0" fontId="2" fillId="0" borderId="1" xfId="42" applyFont="true" applyFill="true" applyBorder="true" applyAlignment="true">
      <alignment horizontal="left" vertical="center" wrapText="true"/>
    </xf>
    <xf numFmtId="0" fontId="5" fillId="0" borderId="1" xfId="59" applyFont="true" applyFill="true" applyBorder="true" applyAlignment="true">
      <alignment horizontal="left" vertical="center" wrapText="true"/>
    </xf>
    <xf numFmtId="0" fontId="2" fillId="0" borderId="1" xfId="59" applyFont="true" applyFill="true" applyBorder="true" applyAlignment="true">
      <alignment horizontal="left" vertical="center" wrapText="true"/>
    </xf>
    <xf numFmtId="0" fontId="2" fillId="0" borderId="1" xfId="0" applyFont="true" applyFill="true" applyBorder="true" applyAlignment="true">
      <alignment horizontal="left" vertical="center" wrapText="true"/>
    </xf>
    <xf numFmtId="0" fontId="2" fillId="0" borderId="1" xfId="59" applyFont="true" applyFill="true" applyBorder="true" applyAlignment="true">
      <alignment vertical="center" wrapText="true"/>
    </xf>
    <xf numFmtId="0" fontId="5" fillId="0" borderId="1" xfId="0" applyFont="true" applyFill="true" applyBorder="true" applyAlignment="true">
      <alignment horizontal="left" vertical="center" wrapText="true"/>
    </xf>
    <xf numFmtId="180" fontId="5" fillId="0" borderId="1" xfId="0" applyNumberFormat="true" applyFont="true" applyFill="true" applyBorder="true" applyAlignment="true">
      <alignment horizontal="center" vertical="center"/>
    </xf>
    <xf numFmtId="178" fontId="11" fillId="0" borderId="1" xfId="21" applyNumberFormat="true" applyFont="true" applyFill="true" applyBorder="true" applyAlignment="true">
      <alignment horizontal="center" vertical="center"/>
    </xf>
    <xf numFmtId="49" fontId="1" fillId="0" borderId="0" xfId="0" applyNumberFormat="true" applyFont="true" applyFill="true" applyBorder="true">
      <alignment vertical="center"/>
    </xf>
    <xf numFmtId="0" fontId="2" fillId="0" borderId="0" xfId="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2" fillId="0" borderId="0" xfId="0" applyFont="true" applyFill="true" applyBorder="true">
      <alignment vertical="center"/>
    </xf>
    <xf numFmtId="49" fontId="3" fillId="0" borderId="0" xfId="0" applyNumberFormat="true" applyFont="true" applyBorder="true" applyAlignment="true">
      <alignment horizontal="center" vertical="center"/>
    </xf>
    <xf numFmtId="0" fontId="4" fillId="0" borderId="2" xfId="0" applyFont="true" applyFill="true" applyBorder="true" applyAlignment="true">
      <alignment horizontal="center" vertical="center"/>
    </xf>
    <xf numFmtId="0" fontId="12" fillId="2" borderId="1" xfId="42"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2" fillId="0" borderId="0" xfId="0" applyFont="true" applyFill="true" applyAlignment="true">
      <alignment horizontal="left" vertical="center" wrapText="true"/>
    </xf>
    <xf numFmtId="49" fontId="13" fillId="0" borderId="3" xfId="0" applyNumberFormat="true" applyFont="true" applyBorder="true" applyAlignment="true">
      <alignment horizontal="center" vertical="center"/>
    </xf>
    <xf numFmtId="0" fontId="4" fillId="0" borderId="4" xfId="0" applyFont="true" applyFill="true" applyBorder="true" applyAlignment="true">
      <alignment horizontal="center" vertical="center"/>
    </xf>
    <xf numFmtId="180" fontId="12" fillId="2" borderId="1" xfId="0" applyNumberFormat="true" applyFont="true" applyFill="true" applyBorder="true" applyAlignment="true">
      <alignment horizontal="center" vertical="center"/>
    </xf>
    <xf numFmtId="49" fontId="12" fillId="2" borderId="1" xfId="42" applyNumberFormat="true" applyFont="true" applyFill="true" applyBorder="true" applyAlignment="true">
      <alignment horizontal="center" vertical="center"/>
    </xf>
    <xf numFmtId="0" fontId="12" fillId="2" borderId="1" xfId="0" applyFont="true" applyFill="true" applyBorder="true" applyAlignment="true">
      <alignment horizontal="center" vertical="center"/>
    </xf>
    <xf numFmtId="0" fontId="4" fillId="0" borderId="4" xfId="0" applyFont="true" applyFill="true" applyBorder="true" applyAlignment="true">
      <alignment horizontal="center" vertical="center" wrapText="true"/>
    </xf>
    <xf numFmtId="182" fontId="8" fillId="0" borderId="1" xfId="21" applyNumberFormat="true" applyFont="true" applyFill="true" applyBorder="true" applyAlignment="true">
      <alignment horizontal="left" vertical="center" wrapText="true"/>
    </xf>
    <xf numFmtId="0" fontId="2" fillId="0" borderId="1" xfId="21" applyFont="true" applyFill="true" applyBorder="true" applyAlignment="true">
      <alignment horizontal="left" vertical="center" wrapText="true"/>
    </xf>
    <xf numFmtId="0" fontId="5" fillId="0" borderId="1" xfId="21" applyFont="true" applyFill="true" applyBorder="true" applyAlignment="true">
      <alignment horizontal="left" vertical="center" wrapText="true"/>
    </xf>
    <xf numFmtId="178" fontId="2" fillId="0" borderId="1" xfId="21" applyNumberFormat="true" applyFont="true" applyFill="true" applyBorder="true" applyAlignment="true">
      <alignment horizontal="center" vertical="center"/>
    </xf>
    <xf numFmtId="0" fontId="0" fillId="0" borderId="0" xfId="43" applyProtection="true">
      <alignment vertical="center"/>
      <protection locked="false"/>
    </xf>
    <xf numFmtId="0" fontId="0" fillId="0" borderId="3" xfId="43" applyBorder="true" applyAlignment="true" applyProtection="true">
      <alignment horizontal="center" vertical="center" wrapText="true"/>
      <protection locked="false"/>
    </xf>
    <xf numFmtId="0" fontId="14" fillId="0" borderId="1" xfId="43" applyFont="true" applyBorder="true" applyAlignment="true" applyProtection="true">
      <alignment horizontal="center" vertical="center" wrapText="true"/>
      <protection locked="false"/>
    </xf>
    <xf numFmtId="0" fontId="14" fillId="0" borderId="5" xfId="43" applyFont="true" applyBorder="true" applyAlignment="true" applyProtection="true">
      <alignment horizontal="center" vertical="center" wrapText="true"/>
      <protection locked="false"/>
    </xf>
    <xf numFmtId="0" fontId="14" fillId="0" borderId="5" xfId="43" applyFont="true" applyBorder="true" applyAlignment="true" applyProtection="true">
      <alignment horizontal="left" vertical="center" wrapText="true"/>
      <protection locked="false"/>
    </xf>
    <xf numFmtId="0" fontId="14" fillId="0" borderId="6" xfId="43" applyFont="true" applyBorder="true" applyAlignment="true" applyProtection="true">
      <alignment horizontal="center" vertical="center" wrapText="true"/>
      <protection locked="false"/>
    </xf>
    <xf numFmtId="0" fontId="14" fillId="0" borderId="6" xfId="43" applyFont="true" applyBorder="true" applyAlignment="true" applyProtection="true">
      <alignment horizontal="left" vertical="center" wrapText="true"/>
      <protection locked="false"/>
    </xf>
    <xf numFmtId="0" fontId="14" fillId="3" borderId="7" xfId="43" applyFont="true" applyFill="true" applyBorder="true" applyAlignment="true" applyProtection="true">
      <alignment horizontal="center" vertical="center" wrapText="true"/>
      <protection locked="false"/>
    </xf>
    <xf numFmtId="0" fontId="14" fillId="3" borderId="8" xfId="43" applyFont="true" applyFill="true" applyBorder="true" applyAlignment="true" applyProtection="true">
      <alignment horizontal="center" vertical="center" wrapText="true"/>
      <protection locked="false"/>
    </xf>
    <xf numFmtId="0" fontId="14" fillId="0" borderId="1" xfId="43" applyFont="true" applyBorder="true" applyAlignment="true" applyProtection="true">
      <alignment horizontal="left" vertical="center" wrapText="true"/>
      <protection locked="false"/>
    </xf>
    <xf numFmtId="0" fontId="15" fillId="0" borderId="1" xfId="43" applyFont="true" applyBorder="true" applyAlignment="true" applyProtection="true">
      <alignment horizontal="left" vertical="center" wrapText="true"/>
      <protection locked="false"/>
    </xf>
    <xf numFmtId="0" fontId="14" fillId="0" borderId="9" xfId="43" applyFont="true" applyBorder="true" applyAlignment="true" applyProtection="true">
      <alignment horizontal="center" vertical="center" wrapText="true"/>
      <protection locked="false"/>
    </xf>
    <xf numFmtId="0" fontId="14" fillId="0" borderId="10" xfId="43" applyFont="true" applyBorder="true" applyAlignment="true" applyProtection="true">
      <alignment horizontal="center" vertical="center" wrapText="true"/>
      <protection locked="false"/>
    </xf>
    <xf numFmtId="0" fontId="15" fillId="0" borderId="5" xfId="43" applyFont="true" applyBorder="true" applyAlignment="true" applyProtection="true">
      <alignment horizontal="left" vertical="center" wrapText="true"/>
      <protection locked="false"/>
    </xf>
    <xf numFmtId="0" fontId="15" fillId="0" borderId="6" xfId="43" applyFont="true" applyBorder="true" applyAlignment="true" applyProtection="true">
      <alignment horizontal="left" vertical="center" wrapText="true"/>
      <protection locked="false"/>
    </xf>
    <xf numFmtId="2" fontId="14" fillId="3" borderId="7" xfId="43" applyNumberFormat="true" applyFont="true" applyFill="true" applyBorder="true" applyAlignment="true" applyProtection="true">
      <alignment horizontal="center" vertical="center" wrapText="true"/>
      <protection locked="false"/>
    </xf>
    <xf numFmtId="0" fontId="16" fillId="0" borderId="0" xfId="43" applyFont="true" applyAlignment="true" applyProtection="true">
      <alignment horizontal="left" vertical="center"/>
      <protection locked="false"/>
    </xf>
    <xf numFmtId="0" fontId="17" fillId="0" borderId="0" xfId="43" applyFont="true" applyAlignment="true" applyProtection="true">
      <alignment horizontal="left" vertical="center"/>
      <protection locked="false"/>
    </xf>
    <xf numFmtId="0" fontId="15" fillId="0" borderId="1" xfId="43" applyFont="true" applyBorder="true" applyAlignment="true">
      <alignment horizontal="center" vertical="center" wrapText="true"/>
    </xf>
    <xf numFmtId="0" fontId="15" fillId="4" borderId="1" xfId="43" applyFont="true" applyFill="true" applyBorder="true" applyAlignment="true">
      <alignment horizontal="center" vertical="center" wrapText="true"/>
    </xf>
    <xf numFmtId="0" fontId="15" fillId="0" borderId="7" xfId="43" applyFont="true" applyBorder="true" applyAlignment="true">
      <alignment horizontal="center" vertical="center" wrapText="true"/>
    </xf>
    <xf numFmtId="0" fontId="15" fillId="0" borderId="11" xfId="43" applyFont="true" applyBorder="true" applyAlignment="true">
      <alignment horizontal="center" vertical="center" wrapText="true"/>
    </xf>
    <xf numFmtId="0" fontId="0" fillId="0" borderId="1" xfId="43" applyBorder="true">
      <alignment vertical="center"/>
    </xf>
    <xf numFmtId="0" fontId="0" fillId="0" borderId="5" xfId="43" applyBorder="true" applyProtection="true">
      <alignment vertical="center"/>
      <protection locked="false"/>
    </xf>
    <xf numFmtId="0" fontId="15" fillId="0" borderId="6" xfId="43" applyFont="true" applyBorder="true" applyAlignment="true" applyProtection="true">
      <alignment horizontal="center" vertical="center" wrapText="true"/>
      <protection locked="false"/>
    </xf>
    <xf numFmtId="0" fontId="0" fillId="0" borderId="1" xfId="43" applyBorder="true" applyProtection="true">
      <alignment vertical="center"/>
      <protection locked="false"/>
    </xf>
    <xf numFmtId="0" fontId="0" fillId="3" borderId="1" xfId="43" applyFill="true" applyBorder="true" applyProtection="true">
      <alignment vertical="center"/>
      <protection locked="false"/>
    </xf>
    <xf numFmtId="0" fontId="15" fillId="0" borderId="8" xfId="43" applyFont="true" applyBorder="true" applyAlignment="true">
      <alignment horizontal="center" vertical="center" wrapText="true"/>
    </xf>
    <xf numFmtId="0" fontId="18" fillId="0" borderId="1" xfId="43" applyFont="true" applyBorder="true" applyProtection="true">
      <alignment vertical="center"/>
      <protection locked="false"/>
    </xf>
    <xf numFmtId="0" fontId="2" fillId="0" borderId="0" xfId="0" applyFont="true">
      <alignment vertical="center"/>
    </xf>
    <xf numFmtId="0" fontId="13" fillId="0" borderId="3" xfId="0" applyFont="true" applyBorder="true" applyAlignment="true">
      <alignment horizontal="center" vertical="center"/>
    </xf>
    <xf numFmtId="0" fontId="2" fillId="0" borderId="1" xfId="0" applyFont="true" applyBorder="true" applyAlignment="true">
      <alignment horizontal="justify" vertical="center" wrapText="true"/>
    </xf>
    <xf numFmtId="180" fontId="2" fillId="0" borderId="1" xfId="0" applyNumberFormat="true" applyFont="true" applyBorder="true" applyAlignment="true">
      <alignment horizontal="justify" vertical="center" wrapText="true"/>
    </xf>
    <xf numFmtId="0" fontId="19" fillId="0" borderId="0" xfId="0" applyFont="true" applyFill="true">
      <alignment vertical="center"/>
    </xf>
    <xf numFmtId="0" fontId="20" fillId="0" borderId="0" xfId="0" applyFont="true" applyFill="true">
      <alignment vertical="center"/>
    </xf>
    <xf numFmtId="0" fontId="21" fillId="0" borderId="3" xfId="0" applyFont="true" applyFill="true" applyBorder="true" applyAlignment="true">
      <alignment horizontal="center" vertical="center"/>
    </xf>
    <xf numFmtId="0" fontId="20" fillId="0" borderId="1" xfId="0" applyFont="true" applyFill="true" applyBorder="true" applyAlignment="true">
      <alignment horizontal="center" vertical="center"/>
    </xf>
    <xf numFmtId="0" fontId="19" fillId="0" borderId="1" xfId="0" applyFont="true" applyFill="true" applyBorder="true" applyAlignment="true">
      <alignment horizontal="center" vertical="center"/>
    </xf>
    <xf numFmtId="0" fontId="19" fillId="0" borderId="1" xfId="0" applyFont="true" applyFill="true" applyBorder="true" applyAlignment="true">
      <alignment horizontal="left" vertical="center"/>
    </xf>
    <xf numFmtId="0" fontId="20" fillId="0" borderId="1" xfId="0" applyFont="true" applyFill="true" applyBorder="true" applyAlignment="true">
      <alignment horizontal="left" vertical="center"/>
    </xf>
    <xf numFmtId="0" fontId="9" fillId="0" borderId="1"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20" fillId="0" borderId="1" xfId="0" applyFont="true" applyFill="true" applyBorder="true">
      <alignment vertical="center"/>
    </xf>
    <xf numFmtId="49" fontId="20" fillId="0" borderId="1" xfId="0" applyNumberFormat="true" applyFont="true" applyFill="true" applyBorder="true" applyAlignment="true">
      <alignment horizontal="center" vertical="center"/>
    </xf>
    <xf numFmtId="0" fontId="23" fillId="0" borderId="1" xfId="0" applyFont="true" applyFill="true" applyBorder="true" applyAlignment="true">
      <alignment horizontal="center" vertical="center" wrapText="true"/>
    </xf>
    <xf numFmtId="49" fontId="24" fillId="0" borderId="1" xfId="0" applyNumberFormat="true" applyFont="true" applyFill="true" applyBorder="true" applyAlignment="true">
      <alignment horizontal="center" vertical="center" wrapText="true"/>
    </xf>
    <xf numFmtId="0" fontId="25" fillId="0" borderId="1" xfId="0" applyFont="true" applyFill="true" applyBorder="true">
      <alignment vertical="center"/>
    </xf>
    <xf numFmtId="0" fontId="2" fillId="0" borderId="1" xfId="59" applyFont="true" applyFill="true" applyBorder="true" applyAlignment="true">
      <alignment vertical="center"/>
    </xf>
    <xf numFmtId="180" fontId="20" fillId="0" borderId="1" xfId="0" applyNumberFormat="true" applyFont="true" applyFill="true" applyBorder="true" applyAlignment="true">
      <alignment horizontal="center" vertical="center"/>
    </xf>
    <xf numFmtId="180" fontId="19" fillId="0" borderId="1" xfId="0" applyNumberFormat="true" applyFont="true" applyFill="true" applyBorder="true" applyAlignment="true">
      <alignment horizontal="center" vertical="center"/>
    </xf>
    <xf numFmtId="0" fontId="20" fillId="0" borderId="12" xfId="0" applyFont="true" applyFill="true" applyBorder="true" applyAlignment="true">
      <alignment horizontal="center" vertical="center"/>
    </xf>
    <xf numFmtId="2" fontId="20" fillId="0" borderId="0" xfId="0" applyNumberFormat="true" applyFont="true" applyFill="true">
      <alignment vertical="center"/>
    </xf>
    <xf numFmtId="180" fontId="20" fillId="5" borderId="0" xfId="0" applyNumberFormat="true" applyFont="true" applyFill="true">
      <alignment vertical="center"/>
    </xf>
    <xf numFmtId="2" fontId="20" fillId="5" borderId="0" xfId="0" applyNumberFormat="true" applyFont="true" applyFill="true">
      <alignment vertical="center"/>
    </xf>
    <xf numFmtId="180" fontId="19" fillId="5" borderId="0" xfId="0" applyNumberFormat="true" applyFont="true" applyFill="true">
      <alignment vertical="center"/>
    </xf>
    <xf numFmtId="2" fontId="19" fillId="5" borderId="0" xfId="0" applyNumberFormat="true" applyFont="true" applyFill="true">
      <alignment vertical="center"/>
    </xf>
    <xf numFmtId="0" fontId="19" fillId="0" borderId="0" xfId="0" applyFont="true" applyFill="true" applyBorder="true" applyAlignment="true">
      <alignment horizontal="center" vertical="center"/>
    </xf>
    <xf numFmtId="0" fontId="20" fillId="0" borderId="0" xfId="0" applyFont="true" applyFill="true" applyBorder="true" applyAlignment="true">
      <alignment horizontal="center" vertical="center"/>
    </xf>
    <xf numFmtId="180" fontId="20" fillId="0" borderId="0" xfId="0" applyNumberFormat="true" applyFont="true" applyFill="true">
      <alignment vertical="center"/>
    </xf>
    <xf numFmtId="176" fontId="20" fillId="0" borderId="0" xfId="0" applyNumberFormat="true" applyFont="true" applyFill="true">
      <alignment vertical="center"/>
    </xf>
    <xf numFmtId="0" fontId="19" fillId="0" borderId="0" xfId="0" applyFont="true" applyFill="true" applyBorder="true">
      <alignment vertical="center"/>
    </xf>
    <xf numFmtId="0" fontId="20" fillId="0" borderId="0" xfId="0" applyFont="true" applyFill="true" applyBorder="true">
      <alignment vertical="center"/>
    </xf>
  </cellXfs>
  <cellStyles count="64">
    <cellStyle name="常规" xfId="0" builtinId="0"/>
    <cellStyle name="常规 2 2 3 2" xfId="1"/>
    <cellStyle name="常规 2 2 2 2 2" xfId="2"/>
    <cellStyle name="常规 2 8" xfId="3"/>
    <cellStyle name="常规 13" xfId="4"/>
    <cellStyle name="常规 12" xfId="5"/>
    <cellStyle name="40% - 强调文字颜色 6" xfId="6" builtinId="51"/>
    <cellStyle name="20% - 强调文字颜色 6" xfId="7" builtinId="50"/>
    <cellStyle name="常规 3 9" xfId="8"/>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60% - 强调文字颜色 6" xfId="38" builtinId="52"/>
    <cellStyle name="输入" xfId="39" builtinId="20"/>
    <cellStyle name="输出" xfId="40" builtinId="21"/>
    <cellStyle name="检查单元格" xfId="41" builtinId="23"/>
    <cellStyle name="常规 7" xfId="42"/>
    <cellStyle name="常规 2 3" xfId="43"/>
    <cellStyle name="链接单元格" xfId="44" builtinId="24"/>
    <cellStyle name="60% - 强调文字颜色 1" xfId="45" builtinId="32"/>
    <cellStyle name="常规 3"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适中" xfId="53" builtinId="28"/>
    <cellStyle name="20% - 强调文字颜色 1" xfId="54" builtinId="30"/>
    <cellStyle name="常规 6 9" xfId="55"/>
    <cellStyle name="差" xfId="56" builtinId="27"/>
    <cellStyle name="强调文字颜色 2" xfId="57" builtinId="33"/>
    <cellStyle name="40% - 强调文字颜色 1" xfId="58" builtinId="31"/>
    <cellStyle name="常规 2" xfId="59"/>
    <cellStyle name="常规_北横泾泵闸估算1 2" xfId="60"/>
    <cellStyle name="60% - 强调文字颜色 2" xfId="61" builtinId="36"/>
    <cellStyle name="40% - 强调文字颜色 2" xfId="62" builtinId="35"/>
    <cellStyle name="强调文字颜色 3" xfId="63"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true"/>
        </xdr:cNvPicPr>
      </xdr:nvPicPr>
      <xdr:blipFill>
        <a:blip r:embed="rId1">
          <a:extLst>
            <a:ext uri="{28A0092B-C50C-407E-A947-70E740481C1C}">
              <a14:useLocalDpi xmlns:a14="http://schemas.microsoft.com/office/drawing/2010/main" val="false"/>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true"/>
        </xdr:cNvPicPr>
      </xdr:nvPicPr>
      <xdr:blipFill>
        <a:blip r:embed="rId2">
          <a:extLst>
            <a:ext uri="{28A0092B-C50C-407E-A947-70E740481C1C}">
              <a14:useLocalDpi xmlns:a14="http://schemas.microsoft.com/office/drawing/2010/main" val="false"/>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local/share/Kingsoft/tmp/ZXQ=/1692763241263/C:/1-&#24037;&#31243;&#27010;&#39044;&#31639;/6-&#27915;&#23665;&#24037;&#31243;/&#27915;&#23665;&#19977;&#26399;&#39044;&#31639;08.10/&#19977;&#26399;&#27010;&#31639;&#20986;&#29256;(&#36865;&#23457;&#31295;20080303)/0810&#21457;&#19977;&#33322;&#38498; &#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local/share/Kingsoft/tmp/ZXQ=/1692763241263/C:/wy1/&#22857;&#36132;&#21306;&#19968;&#20307;&#21270;&#20379;&#27700;&#24037;&#31243;/&#27888;&#26085;&#27893;&#31449;&#21021;&#35774;&#12289;&#26045;&#24037;&#22270;/&#27888;&#26085;&#27010;&#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local/share/Kingsoft/tmp/ZXQ=/1692763241263/C:/Users/&#21326;&#20026;/Desktop/2023&#20892;&#30000;/&#26539;&#27902;&#22242;&#26032;+&#27010;&#31639;&#34920;/2&#37329;&#23665;&#39539;&#23736;&#26449;2023&#39640;&#26631;&#20934;&#20892;&#30000;&#24314;&#35774;&#39033;&#30446;&#27010;&#31639;&#27719;&#24635;&#34920;2023.7.26(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local/share/Kingsoft/tmp/ZXQ=/1692763241263/C:/0&#23376;&#20122;/1&#24037;&#31243;--&#29579;&#24352;&#33993;/6&#20892;&#30000;/2023&#20892;&#30000;/2023&#20892;&#30000;/&#26539;&#27902;&#22242;&#26032;+&#27010;&#31639;&#34920;/2&#37329;&#23665;&#39539;&#23736;&#26449;2023&#39640;&#26631;&#20934;&#20892;&#30000;&#24314;&#35774;&#39033;&#30446;&#27010;&#31639;&#27719;&#24635;&#34920;2023.7.26(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对比表"/>
      <sheetName val="0对比表"/>
      <sheetName val="6#7#"/>
      <sheetName val="灌溉泵站"/>
      <sheetName val="机电"/>
      <sheetName val="金结"/>
      <sheetName val="项目投资概算及资金来源表"/>
      <sheetName val="其他费用"/>
      <sheetName val="造价服务及招标代理"/>
    </sheetNames>
    <sheetDataSet>
      <sheetData sheetId="0" refreshError="1"/>
      <sheetData sheetId="1" refreshError="1"/>
      <sheetData sheetId="2" refreshError="1"/>
      <sheetData sheetId="3" refreshError="1"/>
      <sheetData sheetId="4" refreshError="1">
        <row r="8">
          <cell r="J8">
            <v>100153.6</v>
          </cell>
        </row>
        <row r="9">
          <cell r="J9">
            <v>18749.76768</v>
          </cell>
        </row>
        <row r="13">
          <cell r="J13">
            <v>138905.6</v>
          </cell>
        </row>
        <row r="14">
          <cell r="J14">
            <v>18749.76768</v>
          </cell>
        </row>
      </sheetData>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表"/>
      <sheetName val="对比表"/>
      <sheetName val="0对比表"/>
      <sheetName val="6#7#"/>
      <sheetName val="灌溉泵站"/>
      <sheetName val="机电"/>
      <sheetName val="金结"/>
      <sheetName val="项目投资概算及资金来源表"/>
      <sheetName val="其他费用"/>
      <sheetName val="造价服务及招标代理"/>
    </sheetNames>
    <sheetDataSet>
      <sheetData sheetId="0" refreshError="1"/>
      <sheetData sheetId="1" refreshError="1"/>
      <sheetData sheetId="2" refreshError="1"/>
      <sheetData sheetId="3" refreshError="1"/>
      <sheetData sheetId="4" refreshError="1">
        <row r="6">
          <cell r="J6">
            <v>169442.03</v>
          </cell>
        </row>
        <row r="7">
          <cell r="J7">
            <v>118052</v>
          </cell>
        </row>
        <row r="11">
          <cell r="J11">
            <v>169442.03</v>
          </cell>
        </row>
        <row r="12">
          <cell r="J12">
            <v>118052</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true"/>
  <cols>
    <col min="1" max="1" width="8" style="106" customWidth="true"/>
    <col min="2" max="2" width="8.86666666666667" style="106"/>
    <col min="3" max="3" width="24.2" style="106" customWidth="true"/>
    <col min="4" max="4" width="6.8" style="106" customWidth="true"/>
    <col min="5" max="5" width="9.66666666666667" style="106" customWidth="true"/>
    <col min="6" max="6" width="11.3333333333333" style="106" customWidth="true"/>
    <col min="7" max="8" width="12.8666666666667" style="106" customWidth="true"/>
    <col min="9" max="9" width="12.6666666666667" style="106" customWidth="true"/>
    <col min="10" max="10" width="17.1333333333333" style="106" customWidth="true"/>
    <col min="11" max="11" width="10.2" style="106" customWidth="true"/>
    <col min="12" max="16384" width="8.86666666666667" style="106"/>
  </cols>
  <sheetData>
    <row r="1" ht="37.5" customHeight="true" spans="1:8">
      <c r="A1" s="107" t="s">
        <v>0</v>
      </c>
      <c r="B1" s="107"/>
      <c r="C1" s="107"/>
      <c r="D1" s="107"/>
      <c r="E1" s="107"/>
      <c r="F1" s="107"/>
      <c r="G1" s="107"/>
      <c r="H1" s="107"/>
    </row>
    <row r="2" customHeight="true" spans="1:9">
      <c r="A2" s="108" t="s">
        <v>1</v>
      </c>
      <c r="B2" s="108" t="s">
        <v>2</v>
      </c>
      <c r="C2" s="108" t="s">
        <v>3</v>
      </c>
      <c r="D2" s="108" t="s">
        <v>4</v>
      </c>
      <c r="E2" s="108" t="s">
        <v>5</v>
      </c>
      <c r="F2" s="108" t="s">
        <v>6</v>
      </c>
      <c r="G2" s="108" t="s">
        <v>7</v>
      </c>
      <c r="H2" s="108" t="s">
        <v>8</v>
      </c>
      <c r="I2" s="122"/>
    </row>
    <row r="3" customHeight="true" spans="1:11">
      <c r="A3" s="109" t="s">
        <v>9</v>
      </c>
      <c r="B3" s="109" t="s">
        <v>10</v>
      </c>
      <c r="C3" s="108"/>
      <c r="D3" s="108"/>
      <c r="E3" s="120"/>
      <c r="F3" s="120"/>
      <c r="G3" s="121" t="e">
        <f>G4+G6+G29+G33+G40+G43</f>
        <v>#REF!</v>
      </c>
      <c r="H3" s="121"/>
      <c r="J3" s="106">
        <v>1287</v>
      </c>
      <c r="K3" s="123" t="e">
        <f>G3/J3</f>
        <v>#REF!</v>
      </c>
    </row>
    <row r="4" customHeight="true" spans="1:11">
      <c r="A4" s="109" t="s">
        <v>11</v>
      </c>
      <c r="B4" s="109"/>
      <c r="C4" s="110" t="s">
        <v>12</v>
      </c>
      <c r="D4" s="109"/>
      <c r="E4" s="121"/>
      <c r="F4" s="121"/>
      <c r="G4" s="121">
        <f>SUM(G5:G5)</f>
        <v>56.15</v>
      </c>
      <c r="H4" s="121"/>
      <c r="J4" s="124" t="e">
        <f>G64</f>
        <v>#REF!</v>
      </c>
      <c r="K4" s="125" t="e">
        <f>J4/J3</f>
        <v>#REF!</v>
      </c>
    </row>
    <row r="5" customHeight="true" spans="1:8">
      <c r="A5" s="108">
        <v>1</v>
      </c>
      <c r="B5" s="108"/>
      <c r="C5" s="111" t="s">
        <v>13</v>
      </c>
      <c r="D5" s="112" t="s">
        <v>14</v>
      </c>
      <c r="E5" s="120">
        <v>1123</v>
      </c>
      <c r="F5" s="120">
        <v>500</v>
      </c>
      <c r="G5" s="120">
        <f>F5*E5/10000</f>
        <v>56.15</v>
      </c>
      <c r="H5" s="120"/>
    </row>
    <row r="6" s="105" customFormat="true" customHeight="true" spans="1:11">
      <c r="A6" s="109" t="s">
        <v>15</v>
      </c>
      <c r="B6" s="109"/>
      <c r="C6" s="110" t="s">
        <v>16</v>
      </c>
      <c r="D6" s="113"/>
      <c r="E6" s="121"/>
      <c r="F6" s="121"/>
      <c r="G6" s="121" t="e">
        <f>SUM(G7,G8,G9,G10,G22)</f>
        <v>#REF!</v>
      </c>
      <c r="H6" s="121"/>
      <c r="J6" s="126" t="e">
        <f>#REF!-'6#7#'!J4</f>
        <v>#REF!</v>
      </c>
      <c r="K6" s="127" t="e">
        <f>J6/J7</f>
        <v>#REF!</v>
      </c>
    </row>
    <row r="7" customHeight="true" spans="1:10">
      <c r="A7" s="21" t="s">
        <v>17</v>
      </c>
      <c r="B7" s="114"/>
      <c r="C7" s="111" t="s">
        <v>18</v>
      </c>
      <c r="D7" s="21" t="s">
        <v>19</v>
      </c>
      <c r="E7" s="120">
        <v>2</v>
      </c>
      <c r="F7" s="120" t="e">
        <f>#REF!</f>
        <v>#REF!</v>
      </c>
      <c r="G7" s="120" t="e">
        <f>E7*F7/10000</f>
        <v>#REF!</v>
      </c>
      <c r="H7" s="120"/>
      <c r="J7" s="106">
        <f>9215-J3</f>
        <v>7928</v>
      </c>
    </row>
    <row r="8" customHeight="true" spans="1:8">
      <c r="A8" s="21" t="s">
        <v>20</v>
      </c>
      <c r="B8" s="114"/>
      <c r="C8" s="111" t="s">
        <v>21</v>
      </c>
      <c r="D8" s="112" t="s">
        <v>19</v>
      </c>
      <c r="E8" s="120">
        <v>2</v>
      </c>
      <c r="F8" s="120" t="e">
        <f>#REF!</f>
        <v>#REF!</v>
      </c>
      <c r="G8" s="120" t="e">
        <f t="shared" ref="G8:G9" si="0">E8*F8/10000</f>
        <v>#REF!</v>
      </c>
      <c r="H8" s="120"/>
    </row>
    <row r="9" customHeight="true" spans="1:8">
      <c r="A9" s="21" t="s">
        <v>22</v>
      </c>
      <c r="B9" s="114"/>
      <c r="C9" s="111" t="s">
        <v>23</v>
      </c>
      <c r="D9" s="21" t="s">
        <v>24</v>
      </c>
      <c r="E9" s="120">
        <v>1</v>
      </c>
      <c r="F9" s="120" t="e">
        <f>#REF!</f>
        <v>#REF!</v>
      </c>
      <c r="G9" s="120" t="e">
        <f t="shared" si="0"/>
        <v>#REF!</v>
      </c>
      <c r="H9" s="120"/>
    </row>
    <row r="10" customHeight="true" spans="1:8">
      <c r="A10" s="115" t="s">
        <v>25</v>
      </c>
      <c r="B10" s="108"/>
      <c r="C10" s="111" t="s">
        <v>26</v>
      </c>
      <c r="D10" s="116"/>
      <c r="E10" s="120"/>
      <c r="F10" s="120"/>
      <c r="G10" s="120" t="e">
        <f>SUM(G11:G21)</f>
        <v>#REF!</v>
      </c>
      <c r="H10" s="120"/>
    </row>
    <row r="11" customHeight="true" spans="1:8">
      <c r="A11" s="21" t="s">
        <v>27</v>
      </c>
      <c r="B11" s="108"/>
      <c r="C11" s="111" t="s">
        <v>28</v>
      </c>
      <c r="D11" s="117" t="s">
        <v>29</v>
      </c>
      <c r="E11" s="120">
        <v>1734</v>
      </c>
      <c r="F11" s="120">
        <v>990.81</v>
      </c>
      <c r="G11" s="120">
        <f t="shared" ref="G11:G21" si="1">E11*F11/10000</f>
        <v>171.81</v>
      </c>
      <c r="H11" s="120"/>
    </row>
    <row r="12" customHeight="true" spans="1:8">
      <c r="A12" s="21" t="s">
        <v>30</v>
      </c>
      <c r="B12" s="108"/>
      <c r="C12" s="111" t="s">
        <v>31</v>
      </c>
      <c r="D12" s="117" t="s">
        <v>29</v>
      </c>
      <c r="E12" s="120">
        <v>5674</v>
      </c>
      <c r="F12" s="120">
        <v>504.62</v>
      </c>
      <c r="G12" s="120">
        <f t="shared" si="1"/>
        <v>286.32</v>
      </c>
      <c r="H12" s="120"/>
    </row>
    <row r="13" customHeight="true" spans="1:8">
      <c r="A13" s="21" t="s">
        <v>32</v>
      </c>
      <c r="B13" s="108"/>
      <c r="C13" s="111" t="s">
        <v>33</v>
      </c>
      <c r="D13" s="117" t="s">
        <v>29</v>
      </c>
      <c r="E13" s="120">
        <v>1761</v>
      </c>
      <c r="F13" s="120">
        <v>347.2</v>
      </c>
      <c r="G13" s="120">
        <f t="shared" si="1"/>
        <v>61.14</v>
      </c>
      <c r="H13" s="120"/>
    </row>
    <row r="14" customHeight="true" spans="1:8">
      <c r="A14" s="21" t="s">
        <v>34</v>
      </c>
      <c r="B14" s="108"/>
      <c r="C14" s="111" t="s">
        <v>35</v>
      </c>
      <c r="D14" s="21" t="s">
        <v>24</v>
      </c>
      <c r="E14" s="120">
        <v>1</v>
      </c>
      <c r="F14" s="120">
        <f>SUM(G11:G13)*0.05*10000</f>
        <v>259635</v>
      </c>
      <c r="G14" s="120">
        <f t="shared" si="1"/>
        <v>25.96</v>
      </c>
      <c r="H14" s="120"/>
    </row>
    <row r="15" customHeight="true" spans="1:8">
      <c r="A15" s="21" t="s">
        <v>36</v>
      </c>
      <c r="B15" s="108"/>
      <c r="C15" s="111" t="s">
        <v>37</v>
      </c>
      <c r="D15" s="117" t="s">
        <v>19</v>
      </c>
      <c r="E15" s="120">
        <v>149</v>
      </c>
      <c r="F15" s="120" t="e">
        <f>#REF!</f>
        <v>#REF!</v>
      </c>
      <c r="G15" s="120" t="e">
        <f t="shared" si="1"/>
        <v>#REF!</v>
      </c>
      <c r="H15" s="120"/>
    </row>
    <row r="16" customHeight="true" spans="1:8">
      <c r="A16" s="21" t="s">
        <v>38</v>
      </c>
      <c r="B16" s="108"/>
      <c r="C16" s="111" t="s">
        <v>39</v>
      </c>
      <c r="D16" s="117" t="s">
        <v>19</v>
      </c>
      <c r="E16" s="120">
        <v>107</v>
      </c>
      <c r="F16" s="120" t="e">
        <f>#REF!</f>
        <v>#REF!</v>
      </c>
      <c r="G16" s="120" t="e">
        <f t="shared" si="1"/>
        <v>#REF!</v>
      </c>
      <c r="H16" s="120"/>
    </row>
    <row r="17" customHeight="true" spans="1:8">
      <c r="A17" s="21" t="s">
        <v>40</v>
      </c>
      <c r="B17" s="108"/>
      <c r="C17" s="111" t="s">
        <v>41</v>
      </c>
      <c r="D17" s="117" t="s">
        <v>19</v>
      </c>
      <c r="E17" s="120">
        <v>2</v>
      </c>
      <c r="F17" s="120" t="e">
        <f>#REF!</f>
        <v>#REF!</v>
      </c>
      <c r="G17" s="120" t="e">
        <f t="shared" si="1"/>
        <v>#REF!</v>
      </c>
      <c r="H17" s="120"/>
    </row>
    <row r="18" customHeight="true" spans="1:8">
      <c r="A18" s="21" t="s">
        <v>42</v>
      </c>
      <c r="B18" s="108"/>
      <c r="C18" s="111" t="s">
        <v>43</v>
      </c>
      <c r="D18" s="117" t="s">
        <v>19</v>
      </c>
      <c r="E18" s="120">
        <v>10</v>
      </c>
      <c r="F18" s="120" t="e">
        <f>#REF!</f>
        <v>#REF!</v>
      </c>
      <c r="G18" s="120" t="e">
        <f t="shared" si="1"/>
        <v>#REF!</v>
      </c>
      <c r="H18" s="120"/>
    </row>
    <row r="19" customHeight="true" spans="1:8">
      <c r="A19" s="21" t="s">
        <v>44</v>
      </c>
      <c r="B19" s="108"/>
      <c r="C19" s="111" t="s">
        <v>45</v>
      </c>
      <c r="D19" s="117" t="s">
        <v>19</v>
      </c>
      <c r="E19" s="120">
        <v>6</v>
      </c>
      <c r="F19" s="120" t="e">
        <f>#REF!</f>
        <v>#REF!</v>
      </c>
      <c r="G19" s="120" t="e">
        <f t="shared" si="1"/>
        <v>#REF!</v>
      </c>
      <c r="H19" s="120"/>
    </row>
    <row r="20" customHeight="true" spans="1:8">
      <c r="A20" s="21" t="s">
        <v>46</v>
      </c>
      <c r="B20" s="108"/>
      <c r="C20" s="111" t="s">
        <v>47</v>
      </c>
      <c r="D20" s="117" t="s">
        <v>19</v>
      </c>
      <c r="E20" s="120">
        <v>16</v>
      </c>
      <c r="F20" s="120" t="e">
        <f>#REF!</f>
        <v>#REF!</v>
      </c>
      <c r="G20" s="120" t="e">
        <f t="shared" si="1"/>
        <v>#REF!</v>
      </c>
      <c r="H20" s="120"/>
    </row>
    <row r="21" customHeight="true" spans="1:8">
      <c r="A21" s="21" t="s">
        <v>48</v>
      </c>
      <c r="B21" s="108"/>
      <c r="C21" s="111" t="s">
        <v>49</v>
      </c>
      <c r="D21" s="117" t="s">
        <v>29</v>
      </c>
      <c r="E21" s="120">
        <v>8550</v>
      </c>
      <c r="F21" s="120" t="e">
        <f>#REF!</f>
        <v>#REF!</v>
      </c>
      <c r="G21" s="120" t="e">
        <f t="shared" si="1"/>
        <v>#REF!</v>
      </c>
      <c r="H21" s="120"/>
    </row>
    <row r="22" customHeight="true" spans="1:8">
      <c r="A22" s="115" t="s">
        <v>50</v>
      </c>
      <c r="B22" s="108"/>
      <c r="C22" s="111" t="s">
        <v>51</v>
      </c>
      <c r="D22" s="116"/>
      <c r="E22" s="120"/>
      <c r="F22" s="120"/>
      <c r="G22" s="120" t="e">
        <f>SUM(G23:G28)</f>
        <v>#REF!</v>
      </c>
      <c r="H22" s="120"/>
    </row>
    <row r="23" customHeight="true" spans="1:8">
      <c r="A23" s="21" t="s">
        <v>27</v>
      </c>
      <c r="B23" s="108"/>
      <c r="C23" s="111" t="s">
        <v>52</v>
      </c>
      <c r="D23" s="117" t="s">
        <v>29</v>
      </c>
      <c r="E23" s="120">
        <v>7338</v>
      </c>
      <c r="F23" s="120" t="e">
        <f>#REF!</f>
        <v>#REF!</v>
      </c>
      <c r="G23" s="120" t="e">
        <f>E23*F23/10000</f>
        <v>#REF!</v>
      </c>
      <c r="H23" s="120"/>
    </row>
    <row r="24" customHeight="true" spans="1:8">
      <c r="A24" s="21" t="s">
        <v>30</v>
      </c>
      <c r="B24" s="108"/>
      <c r="C24" s="111" t="s">
        <v>53</v>
      </c>
      <c r="D24" s="117" t="s">
        <v>29</v>
      </c>
      <c r="E24" s="120">
        <v>2030</v>
      </c>
      <c r="F24" s="120" t="e">
        <f>#REF!</f>
        <v>#REF!</v>
      </c>
      <c r="G24" s="120" t="e">
        <f t="shared" ref="G24:G32" si="2">E24*F24/10000</f>
        <v>#REF!</v>
      </c>
      <c r="H24" s="120"/>
    </row>
    <row r="25" customHeight="true" spans="1:8">
      <c r="A25" s="21" t="s">
        <v>32</v>
      </c>
      <c r="B25" s="108"/>
      <c r="C25" s="111" t="s">
        <v>54</v>
      </c>
      <c r="D25" s="117" t="s">
        <v>19</v>
      </c>
      <c r="E25" s="120">
        <v>2</v>
      </c>
      <c r="F25" s="120" t="e">
        <f>#REF!</f>
        <v>#REF!</v>
      </c>
      <c r="G25" s="120" t="e">
        <f t="shared" si="2"/>
        <v>#REF!</v>
      </c>
      <c r="H25" s="120"/>
    </row>
    <row r="26" customHeight="true" spans="1:8">
      <c r="A26" s="21" t="s">
        <v>34</v>
      </c>
      <c r="B26" s="108"/>
      <c r="C26" s="111" t="s">
        <v>55</v>
      </c>
      <c r="D26" s="116" t="s">
        <v>19</v>
      </c>
      <c r="E26" s="120">
        <v>6</v>
      </c>
      <c r="F26" s="120" t="e">
        <f>#REF!</f>
        <v>#REF!</v>
      </c>
      <c r="G26" s="120" t="e">
        <f t="shared" si="2"/>
        <v>#REF!</v>
      </c>
      <c r="H26" s="120"/>
    </row>
    <row r="27" customHeight="true" spans="1:8">
      <c r="A27" s="21" t="s">
        <v>36</v>
      </c>
      <c r="B27" s="108"/>
      <c r="C27" s="111" t="s">
        <v>56</v>
      </c>
      <c r="D27" s="116" t="s">
        <v>19</v>
      </c>
      <c r="E27" s="120">
        <v>294</v>
      </c>
      <c r="F27" s="120" t="e">
        <f>#REF!</f>
        <v>#REF!</v>
      </c>
      <c r="G27" s="120" t="e">
        <f t="shared" si="2"/>
        <v>#REF!</v>
      </c>
      <c r="H27" s="120"/>
    </row>
    <row r="28" customHeight="true" spans="1:8">
      <c r="A28" s="21" t="s">
        <v>38</v>
      </c>
      <c r="B28" s="108"/>
      <c r="C28" s="111" t="s">
        <v>57</v>
      </c>
      <c r="D28" s="116" t="s">
        <v>19</v>
      </c>
      <c r="E28" s="120">
        <v>15</v>
      </c>
      <c r="F28" s="120" t="e">
        <f>#REF!</f>
        <v>#REF!</v>
      </c>
      <c r="G28" s="120" t="e">
        <f t="shared" si="2"/>
        <v>#REF!</v>
      </c>
      <c r="H28" s="120"/>
    </row>
    <row r="29" s="105" customFormat="true" customHeight="true" spans="1:8">
      <c r="A29" s="109" t="s">
        <v>58</v>
      </c>
      <c r="B29" s="109"/>
      <c r="C29" s="110" t="s">
        <v>59</v>
      </c>
      <c r="D29" s="109"/>
      <c r="E29" s="121"/>
      <c r="F29" s="121"/>
      <c r="G29" s="121" t="e">
        <f>SUM(G30:G32)</f>
        <v>#REF!</v>
      </c>
      <c r="H29" s="121"/>
    </row>
    <row r="30" customHeight="true" spans="1:8">
      <c r="A30" s="115" t="s">
        <v>17</v>
      </c>
      <c r="B30" s="108"/>
      <c r="C30" s="111" t="s">
        <v>60</v>
      </c>
      <c r="D30" s="116" t="s">
        <v>61</v>
      </c>
      <c r="E30" s="120">
        <f>(2801*3+8474*2.5)*0.3</f>
        <v>8876.4</v>
      </c>
      <c r="F30" s="120">
        <f>121.79/2</f>
        <v>60.9</v>
      </c>
      <c r="G30" s="120">
        <f t="shared" si="2"/>
        <v>54.06</v>
      </c>
      <c r="H30" s="120"/>
    </row>
    <row r="31" customHeight="true" spans="1:8">
      <c r="A31" s="115" t="s">
        <v>20</v>
      </c>
      <c r="B31" s="108"/>
      <c r="C31" s="111" t="s">
        <v>62</v>
      </c>
      <c r="D31" s="108" t="s">
        <v>19</v>
      </c>
      <c r="E31" s="120">
        <v>1</v>
      </c>
      <c r="F31" s="120">
        <f>1000*18*5.6</f>
        <v>100800</v>
      </c>
      <c r="G31" s="120">
        <f t="shared" si="2"/>
        <v>10.08</v>
      </c>
      <c r="H31" s="120"/>
    </row>
    <row r="32" customHeight="true" spans="1:8">
      <c r="A32" s="115" t="s">
        <v>22</v>
      </c>
      <c r="B32" s="108"/>
      <c r="C32" s="111" t="s">
        <v>63</v>
      </c>
      <c r="D32" s="108" t="s">
        <v>19</v>
      </c>
      <c r="E32" s="120">
        <v>2</v>
      </c>
      <c r="F32" s="120" t="e">
        <f>(#REF!+#REF!)/2</f>
        <v>#REF!</v>
      </c>
      <c r="G32" s="120" t="e">
        <f t="shared" si="2"/>
        <v>#REF!</v>
      </c>
      <c r="H32" s="120"/>
    </row>
    <row r="33" s="105" customFormat="true" customHeight="true" spans="1:8">
      <c r="A33" s="109" t="s">
        <v>64</v>
      </c>
      <c r="B33" s="109"/>
      <c r="C33" s="110" t="s">
        <v>65</v>
      </c>
      <c r="D33" s="109"/>
      <c r="E33" s="121"/>
      <c r="F33" s="121"/>
      <c r="G33" s="121" t="e">
        <f>SUM(G34:G36)</f>
        <v>#REF!</v>
      </c>
      <c r="H33" s="121"/>
    </row>
    <row r="34" customHeight="true" spans="1:8">
      <c r="A34" s="115" t="s">
        <v>17</v>
      </c>
      <c r="B34" s="108"/>
      <c r="C34" s="111" t="s">
        <v>66</v>
      </c>
      <c r="D34" s="108" t="s">
        <v>14</v>
      </c>
      <c r="E34" s="120">
        <v>22</v>
      </c>
      <c r="F34" s="120">
        <v>18000</v>
      </c>
      <c r="G34" s="120">
        <f>E34*F34/10000</f>
        <v>39.6</v>
      </c>
      <c r="H34" s="120"/>
    </row>
    <row r="35" customHeight="true" spans="1:8">
      <c r="A35" s="115" t="s">
        <v>20</v>
      </c>
      <c r="B35" s="108"/>
      <c r="C35" s="111" t="s">
        <v>67</v>
      </c>
      <c r="D35" s="108" t="s">
        <v>29</v>
      </c>
      <c r="E35" s="120">
        <v>300</v>
      </c>
      <c r="F35" s="120" t="e">
        <f>#REF!</f>
        <v>#REF!</v>
      </c>
      <c r="G35" s="120" t="e">
        <f>E35*F35/10000</f>
        <v>#REF!</v>
      </c>
      <c r="H35" s="120"/>
    </row>
    <row r="36" customHeight="true" spans="1:8">
      <c r="A36" s="115" t="s">
        <v>22</v>
      </c>
      <c r="B36" s="111"/>
      <c r="C36" s="111" t="s">
        <v>68</v>
      </c>
      <c r="D36" s="108"/>
      <c r="E36" s="120"/>
      <c r="F36" s="120"/>
      <c r="G36" s="120" t="e">
        <f>SUM(G37:G39)</f>
        <v>#REF!</v>
      </c>
      <c r="H36" s="120"/>
    </row>
    <row r="37" customHeight="true" spans="1:8">
      <c r="A37" s="21" t="s">
        <v>27</v>
      </c>
      <c r="B37" s="108"/>
      <c r="C37" s="111" t="s">
        <v>69</v>
      </c>
      <c r="D37" s="116" t="s">
        <v>61</v>
      </c>
      <c r="E37" s="120" t="e">
        <f>#REF!</f>
        <v>#REF!</v>
      </c>
      <c r="F37" s="120" t="e">
        <f>#REF!</f>
        <v>#REF!</v>
      </c>
      <c r="G37" s="120" t="e">
        <f>E37*F37/10000</f>
        <v>#REF!</v>
      </c>
      <c r="H37" s="120"/>
    </row>
    <row r="38" customHeight="true" spans="1:8">
      <c r="A38" s="21" t="s">
        <v>30</v>
      </c>
      <c r="B38" s="108"/>
      <c r="C38" s="111" t="s">
        <v>70</v>
      </c>
      <c r="D38" s="116" t="s">
        <v>24</v>
      </c>
      <c r="E38" s="120" t="e">
        <f>#REF!</f>
        <v>#REF!</v>
      </c>
      <c r="F38" s="120" t="e">
        <f>#REF!</f>
        <v>#REF!</v>
      </c>
      <c r="G38" s="120" t="e">
        <f>E38*F38/10000</f>
        <v>#REF!</v>
      </c>
      <c r="H38" s="120"/>
    </row>
    <row r="39" customHeight="true" spans="1:8">
      <c r="A39" s="21" t="s">
        <v>32</v>
      </c>
      <c r="B39" s="108"/>
      <c r="C39" s="111" t="s">
        <v>71</v>
      </c>
      <c r="D39" s="116" t="s">
        <v>24</v>
      </c>
      <c r="E39" s="120" t="e">
        <f>#REF!</f>
        <v>#REF!</v>
      </c>
      <c r="F39" s="120" t="e">
        <f>#REF!</f>
        <v>#REF!</v>
      </c>
      <c r="G39" s="120" t="e">
        <f>E39*F39/10000</f>
        <v>#REF!</v>
      </c>
      <c r="H39" s="120"/>
    </row>
    <row r="40" s="105" customFormat="true" customHeight="true" spans="1:17">
      <c r="A40" s="109" t="s">
        <v>72</v>
      </c>
      <c r="B40" s="109"/>
      <c r="C40" s="110" t="s">
        <v>73</v>
      </c>
      <c r="D40" s="109"/>
      <c r="E40" s="121"/>
      <c r="F40" s="121"/>
      <c r="G40" s="121" t="e">
        <f>SUM(G41:G42)</f>
        <v>#REF!</v>
      </c>
      <c r="H40" s="121"/>
      <c r="J40" s="128"/>
      <c r="K40" s="128"/>
      <c r="L40" s="128"/>
      <c r="M40" s="128"/>
      <c r="N40" s="128"/>
      <c r="O40" s="128"/>
      <c r="P40" s="132"/>
      <c r="Q40" s="132"/>
    </row>
    <row r="41" customHeight="true" spans="1:17">
      <c r="A41" s="115" t="s">
        <v>17</v>
      </c>
      <c r="B41" s="108"/>
      <c r="C41" s="111" t="s">
        <v>74</v>
      </c>
      <c r="D41" s="108" t="s">
        <v>29</v>
      </c>
      <c r="E41" s="120" t="e">
        <f>#REF!</f>
        <v>#REF!</v>
      </c>
      <c r="F41" s="120">
        <v>65.15</v>
      </c>
      <c r="G41" s="120" t="e">
        <f>E41*F41/10000</f>
        <v>#REF!</v>
      </c>
      <c r="H41" s="120"/>
      <c r="J41" s="129"/>
      <c r="K41" s="129"/>
      <c r="L41" s="129"/>
      <c r="M41" s="129"/>
      <c r="N41" s="129"/>
      <c r="O41" s="129"/>
      <c r="P41" s="133"/>
      <c r="Q41" s="133"/>
    </row>
    <row r="42" customHeight="true" spans="1:17">
      <c r="A42" s="115" t="s">
        <v>20</v>
      </c>
      <c r="B42" s="108"/>
      <c r="C42" s="111" t="s">
        <v>75</v>
      </c>
      <c r="D42" s="108" t="s">
        <v>76</v>
      </c>
      <c r="E42" s="120">
        <v>2</v>
      </c>
      <c r="F42" s="120" t="e">
        <f>#REF!</f>
        <v>#REF!</v>
      </c>
      <c r="G42" s="120" t="e">
        <f>E42*F42/10000</f>
        <v>#REF!</v>
      </c>
      <c r="H42" s="120"/>
      <c r="J42" s="129"/>
      <c r="K42" s="129"/>
      <c r="L42" s="129"/>
      <c r="M42" s="129"/>
      <c r="N42" s="129"/>
      <c r="O42" s="129"/>
      <c r="P42" s="133"/>
      <c r="Q42" s="133"/>
    </row>
    <row r="43" s="105" customFormat="true" hidden="true" customHeight="true" spans="1:17">
      <c r="A43" s="109" t="s">
        <v>77</v>
      </c>
      <c r="B43" s="109"/>
      <c r="C43" s="110" t="s">
        <v>78</v>
      </c>
      <c r="D43" s="109"/>
      <c r="E43" s="121"/>
      <c r="F43" s="121"/>
      <c r="G43" s="121">
        <f>SUM(G44:G45)</f>
        <v>0</v>
      </c>
      <c r="H43" s="121"/>
      <c r="J43" s="128"/>
      <c r="K43" s="128"/>
      <c r="L43" s="128"/>
      <c r="M43" s="128"/>
      <c r="N43" s="128"/>
      <c r="O43" s="128"/>
      <c r="P43" s="132"/>
      <c r="Q43" s="132"/>
    </row>
    <row r="44" hidden="true" customHeight="true" spans="1:17">
      <c r="A44" s="115" t="s">
        <v>17</v>
      </c>
      <c r="B44" s="108"/>
      <c r="C44" s="111" t="s">
        <v>79</v>
      </c>
      <c r="D44" s="116" t="s">
        <v>61</v>
      </c>
      <c r="E44" s="120"/>
      <c r="F44" s="120"/>
      <c r="G44" s="120">
        <f>E44*F44/10000</f>
        <v>0</v>
      </c>
      <c r="H44" s="120"/>
      <c r="J44" s="129"/>
      <c r="K44" s="129"/>
      <c r="L44" s="129"/>
      <c r="M44" s="129"/>
      <c r="N44" s="129"/>
      <c r="O44" s="129"/>
      <c r="P44" s="133"/>
      <c r="Q44" s="133"/>
    </row>
    <row r="45" hidden="true" customHeight="true" spans="1:17">
      <c r="A45" s="115" t="s">
        <v>20</v>
      </c>
      <c r="B45" s="108"/>
      <c r="C45" s="111" t="s">
        <v>80</v>
      </c>
      <c r="D45" s="116" t="s">
        <v>61</v>
      </c>
      <c r="E45" s="120"/>
      <c r="F45" s="120"/>
      <c r="G45" s="120">
        <f>E45*F45/10000</f>
        <v>0</v>
      </c>
      <c r="H45" s="120"/>
      <c r="J45" s="129"/>
      <c r="K45" s="129"/>
      <c r="L45" s="129"/>
      <c r="M45" s="129"/>
      <c r="N45" s="129"/>
      <c r="O45" s="129"/>
      <c r="P45" s="133"/>
      <c r="Q45" s="133"/>
    </row>
    <row r="46" hidden="true" customHeight="true" spans="1:17">
      <c r="A46" s="115" t="s">
        <v>22</v>
      </c>
      <c r="B46" s="108"/>
      <c r="C46" s="111" t="s">
        <v>81</v>
      </c>
      <c r="D46" s="112" t="s">
        <v>24</v>
      </c>
      <c r="E46" s="120"/>
      <c r="F46" s="120"/>
      <c r="G46" s="120">
        <f>E46*F46/10000</f>
        <v>0</v>
      </c>
      <c r="H46" s="120"/>
      <c r="J46" s="129"/>
      <c r="K46" s="129"/>
      <c r="L46" s="129"/>
      <c r="M46" s="129"/>
      <c r="N46" s="129"/>
      <c r="O46" s="129"/>
      <c r="P46" s="133"/>
      <c r="Q46" s="133"/>
    </row>
    <row r="47" customHeight="true" spans="1:9">
      <c r="A47" s="109" t="s">
        <v>82</v>
      </c>
      <c r="B47" s="109" t="s">
        <v>83</v>
      </c>
      <c r="C47" s="110"/>
      <c r="D47" s="109"/>
      <c r="E47" s="121"/>
      <c r="F47" s="121"/>
      <c r="G47" s="121">
        <f>SUM(G48:G48)</f>
        <v>0</v>
      </c>
      <c r="H47" s="121"/>
      <c r="I47" s="130" t="e">
        <f>G47+G3</f>
        <v>#REF!</v>
      </c>
    </row>
    <row r="48" customHeight="true" spans="1:10">
      <c r="A48" s="108"/>
      <c r="B48" s="108"/>
      <c r="C48" s="111"/>
      <c r="D48" s="108"/>
      <c r="E48" s="120"/>
      <c r="F48" s="120"/>
      <c r="G48" s="120"/>
      <c r="H48" s="120"/>
      <c r="J48" s="106" t="s">
        <v>84</v>
      </c>
    </row>
    <row r="49" customHeight="true" spans="1:11">
      <c r="A49" s="109" t="s">
        <v>85</v>
      </c>
      <c r="B49" s="109" t="s">
        <v>86</v>
      </c>
      <c r="C49" s="110"/>
      <c r="D49" s="109"/>
      <c r="E49" s="121"/>
      <c r="F49" s="121"/>
      <c r="G49" s="121" t="e">
        <f>G3*0.064</f>
        <v>#REF!</v>
      </c>
      <c r="H49" s="121"/>
      <c r="I49" s="106" t="e">
        <f>2000*0.08+0.03*(G3+G47-2000)</f>
        <v>#REF!</v>
      </c>
      <c r="J49" s="131" t="e">
        <f>G49-I49</f>
        <v>#REF!</v>
      </c>
      <c r="K49" s="106" t="e">
        <f>J49/G49</f>
        <v>#REF!</v>
      </c>
    </row>
    <row r="50" hidden="true" customHeight="true" spans="1:9">
      <c r="A50" s="117" t="s">
        <v>87</v>
      </c>
      <c r="B50" s="118"/>
      <c r="C50" s="118" t="s">
        <v>88</v>
      </c>
      <c r="D50" s="109"/>
      <c r="E50" s="121"/>
      <c r="F50" s="121"/>
      <c r="G50" s="120"/>
      <c r="H50" s="120"/>
      <c r="I50" s="123" t="e">
        <f>#REF!</f>
        <v>#REF!</v>
      </c>
    </row>
    <row r="51" hidden="true" customHeight="true" spans="1:8">
      <c r="A51" s="117" t="s">
        <v>89</v>
      </c>
      <c r="B51" s="119"/>
      <c r="C51" s="119" t="s">
        <v>90</v>
      </c>
      <c r="D51" s="109"/>
      <c r="E51" s="121"/>
      <c r="F51" s="121"/>
      <c r="G51" s="120"/>
      <c r="H51" s="120"/>
    </row>
    <row r="52" hidden="true" customHeight="true" spans="1:9">
      <c r="A52" s="117" t="s">
        <v>17</v>
      </c>
      <c r="B52" s="119"/>
      <c r="C52" s="119" t="s">
        <v>90</v>
      </c>
      <c r="D52" s="109"/>
      <c r="E52" s="121"/>
      <c r="F52" s="121"/>
      <c r="G52" s="120"/>
      <c r="H52" s="120"/>
      <c r="I52" s="106" t="e">
        <f>造价服务及招标代理!P12+造价服务及招标代理!P14+造价服务及招标代理!P16+造价服务及招标代理!P18</f>
        <v>#REF!</v>
      </c>
    </row>
    <row r="53" hidden="true" customHeight="true" spans="1:8">
      <c r="A53" s="117" t="s">
        <v>20</v>
      </c>
      <c r="B53" s="119"/>
      <c r="C53" s="119" t="s">
        <v>91</v>
      </c>
      <c r="D53" s="109"/>
      <c r="E53" s="121"/>
      <c r="F53" s="121"/>
      <c r="G53" s="120"/>
      <c r="H53" s="120"/>
    </row>
    <row r="54" hidden="true" customHeight="true" spans="1:8">
      <c r="A54" s="117" t="s">
        <v>92</v>
      </c>
      <c r="B54" s="119"/>
      <c r="C54" s="119" t="s">
        <v>93</v>
      </c>
      <c r="D54" s="109"/>
      <c r="E54" s="121"/>
      <c r="F54" s="121"/>
      <c r="G54" s="120"/>
      <c r="H54" s="120"/>
    </row>
    <row r="55" hidden="true" customHeight="true" spans="1:13">
      <c r="A55" s="117" t="s">
        <v>17</v>
      </c>
      <c r="B55" s="119"/>
      <c r="C55" s="119" t="s">
        <v>94</v>
      </c>
      <c r="D55" s="109"/>
      <c r="E55" s="121"/>
      <c r="F55" s="121"/>
      <c r="G55" s="120"/>
      <c r="H55" s="120"/>
      <c r="M55" s="130"/>
    </row>
    <row r="56" hidden="true" customHeight="true" spans="1:9">
      <c r="A56" s="117" t="s">
        <v>20</v>
      </c>
      <c r="B56" s="119"/>
      <c r="C56" s="119" t="s">
        <v>95</v>
      </c>
      <c r="D56" s="109"/>
      <c r="E56" s="121"/>
      <c r="F56" s="121"/>
      <c r="G56" s="120"/>
      <c r="H56" s="120"/>
      <c r="I56" s="123" t="e">
        <f>#REF!</f>
        <v>#REF!</v>
      </c>
    </row>
    <row r="57" hidden="true" customHeight="true" spans="1:8">
      <c r="A57" s="117" t="s">
        <v>96</v>
      </c>
      <c r="B57" s="119"/>
      <c r="C57" s="119" t="s">
        <v>97</v>
      </c>
      <c r="D57" s="109"/>
      <c r="E57" s="121"/>
      <c r="F57" s="121"/>
      <c r="G57" s="120"/>
      <c r="H57" s="120"/>
    </row>
    <row r="58" hidden="true" customHeight="true" spans="1:9">
      <c r="A58" s="117">
        <v>1</v>
      </c>
      <c r="B58" s="119"/>
      <c r="C58" s="119" t="s">
        <v>98</v>
      </c>
      <c r="D58" s="109"/>
      <c r="E58" s="121"/>
      <c r="F58" s="121"/>
      <c r="G58" s="120"/>
      <c r="H58" s="120"/>
      <c r="I58" s="123" t="e">
        <f>#REF!</f>
        <v>#REF!</v>
      </c>
    </row>
    <row r="59" hidden="true" customHeight="true" spans="1:8">
      <c r="A59" s="117">
        <v>2</v>
      </c>
      <c r="B59" s="119"/>
      <c r="C59" s="119" t="s">
        <v>99</v>
      </c>
      <c r="D59" s="109"/>
      <c r="E59" s="121"/>
      <c r="F59" s="121"/>
      <c r="G59" s="120"/>
      <c r="H59" s="120"/>
    </row>
    <row r="60" hidden="true" customHeight="true" spans="1:8">
      <c r="A60" s="117" t="s">
        <v>100</v>
      </c>
      <c r="B60" s="119"/>
      <c r="C60" s="119" t="s">
        <v>101</v>
      </c>
      <c r="D60" s="109"/>
      <c r="E60" s="121"/>
      <c r="F60" s="121"/>
      <c r="G60" s="120"/>
      <c r="H60" s="120"/>
    </row>
    <row r="61" hidden="true" customHeight="true" spans="1:8">
      <c r="A61" s="117" t="s">
        <v>102</v>
      </c>
      <c r="B61" s="119"/>
      <c r="C61" s="119" t="s">
        <v>103</v>
      </c>
      <c r="D61" s="109"/>
      <c r="E61" s="121"/>
      <c r="F61" s="121"/>
      <c r="G61" s="120"/>
      <c r="H61" s="120"/>
    </row>
    <row r="62" hidden="true" customHeight="true" spans="1:8">
      <c r="A62" s="117" t="s">
        <v>104</v>
      </c>
      <c r="B62" s="119"/>
      <c r="C62" s="119" t="s">
        <v>105</v>
      </c>
      <c r="D62" s="109"/>
      <c r="E62" s="121"/>
      <c r="F62" s="121"/>
      <c r="G62" s="120"/>
      <c r="H62" s="120"/>
    </row>
    <row r="63" customHeight="true" spans="1:8">
      <c r="A63" s="117"/>
      <c r="B63" s="119"/>
      <c r="C63" s="119"/>
      <c r="D63" s="109"/>
      <c r="E63" s="121"/>
      <c r="F63" s="121"/>
      <c r="G63" s="120"/>
      <c r="H63" s="120"/>
    </row>
    <row r="64" s="105" customFormat="true" customHeight="true" spans="1:9">
      <c r="A64" s="109" t="s">
        <v>106</v>
      </c>
      <c r="B64" s="109" t="s">
        <v>107</v>
      </c>
      <c r="C64" s="110"/>
      <c r="D64" s="109" t="s">
        <v>14</v>
      </c>
      <c r="E64" s="121">
        <v>1287</v>
      </c>
      <c r="F64" s="121" t="e">
        <f>G64/E64</f>
        <v>#REF!</v>
      </c>
      <c r="G64" s="121" t="e">
        <f>G49+G3+G47</f>
        <v>#REF!</v>
      </c>
      <c r="H64" s="121"/>
      <c r="I64" s="105" t="e">
        <f>G64/G66</f>
        <v>#REF!</v>
      </c>
    </row>
    <row r="66" customHeight="true" spans="7:9">
      <c r="G66" s="106">
        <v>9215</v>
      </c>
      <c r="I66" s="123" t="e">
        <f>G64*0.9</f>
        <v>#REF!</v>
      </c>
    </row>
    <row r="67" customHeight="true" spans="7:9">
      <c r="G67" s="106" t="e">
        <f>G64/G66</f>
        <v>#REF!</v>
      </c>
      <c r="I67" s="12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true" outlineLevelCol="1"/>
  <cols>
    <col min="1" max="1" width="29.2" style="101" customWidth="true"/>
    <col min="2" max="2" width="30" style="101" customWidth="true"/>
    <col min="3" max="256" width="9" style="101"/>
    <col min="257" max="257" width="29.2" style="101" customWidth="true"/>
    <col min="258" max="258" width="30" style="101" customWidth="true"/>
    <col min="259" max="512" width="9" style="101"/>
    <col min="513" max="513" width="29.2" style="101" customWidth="true"/>
    <col min="514" max="514" width="30" style="101" customWidth="true"/>
    <col min="515" max="768" width="9" style="101"/>
    <col min="769" max="769" width="29.2" style="101" customWidth="true"/>
    <col min="770" max="770" width="30" style="101" customWidth="true"/>
    <col min="771" max="1024" width="9" style="101"/>
    <col min="1025" max="1025" width="29.2" style="101" customWidth="true"/>
    <col min="1026" max="1026" width="30" style="101" customWidth="true"/>
    <col min="1027" max="1280" width="9" style="101"/>
    <col min="1281" max="1281" width="29.2" style="101" customWidth="true"/>
    <col min="1282" max="1282" width="30" style="101" customWidth="true"/>
    <col min="1283" max="1536" width="9" style="101"/>
    <col min="1537" max="1537" width="29.2" style="101" customWidth="true"/>
    <col min="1538" max="1538" width="30" style="101" customWidth="true"/>
    <col min="1539" max="1792" width="9" style="101"/>
    <col min="1793" max="1793" width="29.2" style="101" customWidth="true"/>
    <col min="1794" max="1794" width="30" style="101" customWidth="true"/>
    <col min="1795" max="2048" width="9" style="101"/>
    <col min="2049" max="2049" width="29.2" style="101" customWidth="true"/>
    <col min="2050" max="2050" width="30" style="101" customWidth="true"/>
    <col min="2051" max="2304" width="9" style="101"/>
    <col min="2305" max="2305" width="29.2" style="101" customWidth="true"/>
    <col min="2306" max="2306" width="30" style="101" customWidth="true"/>
    <col min="2307" max="2560" width="9" style="101"/>
    <col min="2561" max="2561" width="29.2" style="101" customWidth="true"/>
    <col min="2562" max="2562" width="30" style="101" customWidth="true"/>
    <col min="2563" max="2816" width="9" style="101"/>
    <col min="2817" max="2817" width="29.2" style="101" customWidth="true"/>
    <col min="2818" max="2818" width="30" style="101" customWidth="true"/>
    <col min="2819" max="3072" width="9" style="101"/>
    <col min="3073" max="3073" width="29.2" style="101" customWidth="true"/>
    <col min="3074" max="3074" width="30" style="101" customWidth="true"/>
    <col min="3075" max="3328" width="9" style="101"/>
    <col min="3329" max="3329" width="29.2" style="101" customWidth="true"/>
    <col min="3330" max="3330" width="30" style="101" customWidth="true"/>
    <col min="3331" max="3584" width="9" style="101"/>
    <col min="3585" max="3585" width="29.2" style="101" customWidth="true"/>
    <col min="3586" max="3586" width="30" style="101" customWidth="true"/>
    <col min="3587" max="3840" width="9" style="101"/>
    <col min="3841" max="3841" width="29.2" style="101" customWidth="true"/>
    <col min="3842" max="3842" width="30" style="101" customWidth="true"/>
    <col min="3843" max="4096" width="9" style="101"/>
    <col min="4097" max="4097" width="29.2" style="101" customWidth="true"/>
    <col min="4098" max="4098" width="30" style="101" customWidth="true"/>
    <col min="4099" max="4352" width="9" style="101"/>
    <col min="4353" max="4353" width="29.2" style="101" customWidth="true"/>
    <col min="4354" max="4354" width="30" style="101" customWidth="true"/>
    <col min="4355" max="4608" width="9" style="101"/>
    <col min="4609" max="4609" width="29.2" style="101" customWidth="true"/>
    <col min="4610" max="4610" width="30" style="101" customWidth="true"/>
    <col min="4611" max="4864" width="9" style="101"/>
    <col min="4865" max="4865" width="29.2" style="101" customWidth="true"/>
    <col min="4866" max="4866" width="30" style="101" customWidth="true"/>
    <col min="4867" max="5120" width="9" style="101"/>
    <col min="5121" max="5121" width="29.2" style="101" customWidth="true"/>
    <col min="5122" max="5122" width="30" style="101" customWidth="true"/>
    <col min="5123" max="5376" width="9" style="101"/>
    <col min="5377" max="5377" width="29.2" style="101" customWidth="true"/>
    <col min="5378" max="5378" width="30" style="101" customWidth="true"/>
    <col min="5379" max="5632" width="9" style="101"/>
    <col min="5633" max="5633" width="29.2" style="101" customWidth="true"/>
    <col min="5634" max="5634" width="30" style="101" customWidth="true"/>
    <col min="5635" max="5888" width="9" style="101"/>
    <col min="5889" max="5889" width="29.2" style="101" customWidth="true"/>
    <col min="5890" max="5890" width="30" style="101" customWidth="true"/>
    <col min="5891" max="6144" width="9" style="101"/>
    <col min="6145" max="6145" width="29.2" style="101" customWidth="true"/>
    <col min="6146" max="6146" width="30" style="101" customWidth="true"/>
    <col min="6147" max="6400" width="9" style="101"/>
    <col min="6401" max="6401" width="29.2" style="101" customWidth="true"/>
    <col min="6402" max="6402" width="30" style="101" customWidth="true"/>
    <col min="6403" max="6656" width="9" style="101"/>
    <col min="6657" max="6657" width="29.2" style="101" customWidth="true"/>
    <col min="6658" max="6658" width="30" style="101" customWidth="true"/>
    <col min="6659" max="6912" width="9" style="101"/>
    <col min="6913" max="6913" width="29.2" style="101" customWidth="true"/>
    <col min="6914" max="6914" width="30" style="101" customWidth="true"/>
    <col min="6915" max="7168" width="9" style="101"/>
    <col min="7169" max="7169" width="29.2" style="101" customWidth="true"/>
    <col min="7170" max="7170" width="30" style="101" customWidth="true"/>
    <col min="7171" max="7424" width="9" style="101"/>
    <col min="7425" max="7425" width="29.2" style="101" customWidth="true"/>
    <col min="7426" max="7426" width="30" style="101" customWidth="true"/>
    <col min="7427" max="7680" width="9" style="101"/>
    <col min="7681" max="7681" width="29.2" style="101" customWidth="true"/>
    <col min="7682" max="7682" width="30" style="101" customWidth="true"/>
    <col min="7683" max="7936" width="9" style="101"/>
    <col min="7937" max="7937" width="29.2" style="101" customWidth="true"/>
    <col min="7938" max="7938" width="30" style="101" customWidth="true"/>
    <col min="7939" max="8192" width="9" style="101"/>
    <col min="8193" max="8193" width="29.2" style="101" customWidth="true"/>
    <col min="8194" max="8194" width="30" style="101" customWidth="true"/>
    <col min="8195" max="8448" width="9" style="101"/>
    <col min="8449" max="8449" width="29.2" style="101" customWidth="true"/>
    <col min="8450" max="8450" width="30" style="101" customWidth="true"/>
    <col min="8451" max="8704" width="9" style="101"/>
    <col min="8705" max="8705" width="29.2" style="101" customWidth="true"/>
    <col min="8706" max="8706" width="30" style="101" customWidth="true"/>
    <col min="8707" max="8960" width="9" style="101"/>
    <col min="8961" max="8961" width="29.2" style="101" customWidth="true"/>
    <col min="8962" max="8962" width="30" style="101" customWidth="true"/>
    <col min="8963" max="9216" width="9" style="101"/>
    <col min="9217" max="9217" width="29.2" style="101" customWidth="true"/>
    <col min="9218" max="9218" width="30" style="101" customWidth="true"/>
    <col min="9219" max="9472" width="9" style="101"/>
    <col min="9473" max="9473" width="29.2" style="101" customWidth="true"/>
    <col min="9474" max="9474" width="30" style="101" customWidth="true"/>
    <col min="9475" max="9728" width="9" style="101"/>
    <col min="9729" max="9729" width="29.2" style="101" customWidth="true"/>
    <col min="9730" max="9730" width="30" style="101" customWidth="true"/>
    <col min="9731" max="9984" width="9" style="101"/>
    <col min="9985" max="9985" width="29.2" style="101" customWidth="true"/>
    <col min="9986" max="9986" width="30" style="101" customWidth="true"/>
    <col min="9987" max="10240" width="9" style="101"/>
    <col min="10241" max="10241" width="29.2" style="101" customWidth="true"/>
    <col min="10242" max="10242" width="30" style="101" customWidth="true"/>
    <col min="10243" max="10496" width="9" style="101"/>
    <col min="10497" max="10497" width="29.2" style="101" customWidth="true"/>
    <col min="10498" max="10498" width="30" style="101" customWidth="true"/>
    <col min="10499" max="10752" width="9" style="101"/>
    <col min="10753" max="10753" width="29.2" style="101" customWidth="true"/>
    <col min="10754" max="10754" width="30" style="101" customWidth="true"/>
    <col min="10755" max="11008" width="9" style="101"/>
    <col min="11009" max="11009" width="29.2" style="101" customWidth="true"/>
    <col min="11010" max="11010" width="30" style="101" customWidth="true"/>
    <col min="11011" max="11264" width="9" style="101"/>
    <col min="11265" max="11265" width="29.2" style="101" customWidth="true"/>
    <col min="11266" max="11266" width="30" style="101" customWidth="true"/>
    <col min="11267" max="11520" width="9" style="101"/>
    <col min="11521" max="11521" width="29.2" style="101" customWidth="true"/>
    <col min="11522" max="11522" width="30" style="101" customWidth="true"/>
    <col min="11523" max="11776" width="9" style="101"/>
    <col min="11777" max="11777" width="29.2" style="101" customWidth="true"/>
    <col min="11778" max="11778" width="30" style="101" customWidth="true"/>
    <col min="11779" max="12032" width="9" style="101"/>
    <col min="12033" max="12033" width="29.2" style="101" customWidth="true"/>
    <col min="12034" max="12034" width="30" style="101" customWidth="true"/>
    <col min="12035" max="12288" width="9" style="101"/>
    <col min="12289" max="12289" width="29.2" style="101" customWidth="true"/>
    <col min="12290" max="12290" width="30" style="101" customWidth="true"/>
    <col min="12291" max="12544" width="9" style="101"/>
    <col min="12545" max="12545" width="29.2" style="101" customWidth="true"/>
    <col min="12546" max="12546" width="30" style="101" customWidth="true"/>
    <col min="12547" max="12800" width="9" style="101"/>
    <col min="12801" max="12801" width="29.2" style="101" customWidth="true"/>
    <col min="12802" max="12802" width="30" style="101" customWidth="true"/>
    <col min="12803" max="13056" width="9" style="101"/>
    <col min="13057" max="13057" width="29.2" style="101" customWidth="true"/>
    <col min="13058" max="13058" width="30" style="101" customWidth="true"/>
    <col min="13059" max="13312" width="9" style="101"/>
    <col min="13313" max="13313" width="29.2" style="101" customWidth="true"/>
    <col min="13314" max="13314" width="30" style="101" customWidth="true"/>
    <col min="13315" max="13568" width="9" style="101"/>
    <col min="13569" max="13569" width="29.2" style="101" customWidth="true"/>
    <col min="13570" max="13570" width="30" style="101" customWidth="true"/>
    <col min="13571" max="13824" width="9" style="101"/>
    <col min="13825" max="13825" width="29.2" style="101" customWidth="true"/>
    <col min="13826" max="13826" width="30" style="101" customWidth="true"/>
    <col min="13827" max="14080" width="9" style="101"/>
    <col min="14081" max="14081" width="29.2" style="101" customWidth="true"/>
    <col min="14082" max="14082" width="30" style="101" customWidth="true"/>
    <col min="14083" max="14336" width="9" style="101"/>
    <col min="14337" max="14337" width="29.2" style="101" customWidth="true"/>
    <col min="14338" max="14338" width="30" style="101" customWidth="true"/>
    <col min="14339" max="14592" width="9" style="101"/>
    <col min="14593" max="14593" width="29.2" style="101" customWidth="true"/>
    <col min="14594" max="14594" width="30" style="101" customWidth="true"/>
    <col min="14595" max="14848" width="9" style="101"/>
    <col min="14849" max="14849" width="29.2" style="101" customWidth="true"/>
    <col min="14850" max="14850" width="30" style="101" customWidth="true"/>
    <col min="14851" max="15104" width="9" style="101"/>
    <col min="15105" max="15105" width="29.2" style="101" customWidth="true"/>
    <col min="15106" max="15106" width="30" style="101" customWidth="true"/>
    <col min="15107" max="15360" width="9" style="101"/>
    <col min="15361" max="15361" width="29.2" style="101" customWidth="true"/>
    <col min="15362" max="15362" width="30" style="101" customWidth="true"/>
    <col min="15363" max="15616" width="9" style="101"/>
    <col min="15617" max="15617" width="29.2" style="101" customWidth="true"/>
    <col min="15618" max="15618" width="30" style="101" customWidth="true"/>
    <col min="15619" max="15872" width="9" style="101"/>
    <col min="15873" max="15873" width="29.2" style="101" customWidth="true"/>
    <col min="15874" max="15874" width="30" style="101" customWidth="true"/>
    <col min="15875" max="16128" width="9" style="101"/>
    <col min="16129" max="16129" width="29.2" style="101" customWidth="true"/>
    <col min="16130" max="16130" width="30" style="101" customWidth="true"/>
    <col min="16131" max="16384" width="9" style="101"/>
  </cols>
  <sheetData>
    <row r="1" ht="33" customHeight="true" spans="1:2">
      <c r="A1" s="102" t="s">
        <v>108</v>
      </c>
      <c r="B1" s="102"/>
    </row>
    <row r="2" customHeight="true" spans="1:2">
      <c r="A2" s="103" t="s">
        <v>109</v>
      </c>
      <c r="B2" s="103" t="s">
        <v>110</v>
      </c>
    </row>
    <row r="3" customHeight="true" spans="1:2">
      <c r="A3" s="103" t="s">
        <v>111</v>
      </c>
      <c r="B3" s="104" t="e">
        <f>#REF!*0.5</f>
        <v>#REF!</v>
      </c>
    </row>
    <row r="4" customHeight="true" spans="1:2">
      <c r="A4" s="103" t="s">
        <v>112</v>
      </c>
      <c r="B4" s="104"/>
    </row>
    <row r="5" customHeight="true" spans="1:2">
      <c r="A5" s="103" t="s">
        <v>113</v>
      </c>
      <c r="B5" s="104"/>
    </row>
    <row r="6" customHeight="true" spans="1:2">
      <c r="A6" s="103" t="s">
        <v>114</v>
      </c>
      <c r="B6" s="104" t="e">
        <f>#REF!*0.5</f>
        <v>#REF!</v>
      </c>
    </row>
    <row r="7" customHeight="true" spans="1:2">
      <c r="A7" s="103"/>
      <c r="B7" s="104"/>
    </row>
    <row r="8" customHeight="true" spans="1:2">
      <c r="A8" s="103"/>
      <c r="B8" s="104"/>
    </row>
    <row r="9" customHeight="true" spans="1:2">
      <c r="A9" s="103" t="s">
        <v>115</v>
      </c>
      <c r="B9" s="104" t="e">
        <f>SUM(B3:B8)</f>
        <v>#REF!</v>
      </c>
    </row>
  </sheetData>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72" customWidth="true"/>
    <col min="2" max="2" width="19" style="72" customWidth="true"/>
    <col min="3" max="3" width="13.8666666666667" style="72" customWidth="true"/>
    <col min="4" max="4" width="10" style="72"/>
    <col min="5" max="5" width="9.86666666666667" style="72" customWidth="true"/>
    <col min="6" max="6" width="10.4666666666667" style="72" customWidth="true"/>
    <col min="7" max="7" width="11.8" style="72" customWidth="true"/>
    <col min="8" max="8" width="10.8" style="72" customWidth="true"/>
    <col min="9" max="9" width="11.1333333333333" style="72" customWidth="true"/>
    <col min="10" max="10" width="12.1333333333333" style="72" customWidth="true"/>
    <col min="11" max="11" width="11.4666666666667" style="72" customWidth="true"/>
    <col min="12" max="12" width="13.3333333333333" style="72" customWidth="true"/>
    <col min="13" max="13" width="14" style="72" customWidth="true"/>
    <col min="14" max="14" width="15.6666666666667" style="72" customWidth="true"/>
    <col min="15" max="16384" width="10" style="72"/>
  </cols>
  <sheetData>
    <row r="1" ht="76.5" customHeight="true" spans="1:15">
      <c r="A1" s="73" t="s">
        <v>116</v>
      </c>
      <c r="B1" s="73"/>
      <c r="C1" s="73"/>
      <c r="D1" s="73"/>
      <c r="E1" s="73"/>
      <c r="F1" s="73"/>
      <c r="G1" s="73"/>
      <c r="H1" s="73"/>
      <c r="I1" s="73"/>
      <c r="J1" s="73"/>
      <c r="K1" s="73"/>
      <c r="L1" s="73"/>
      <c r="M1" s="73"/>
      <c r="N1" s="73"/>
      <c r="O1" s="73"/>
    </row>
    <row r="2" ht="20.1" customHeight="true" spans="1:17">
      <c r="A2" s="74" t="s">
        <v>1</v>
      </c>
      <c r="B2" s="74" t="s">
        <v>117</v>
      </c>
      <c r="C2" s="74" t="s">
        <v>118</v>
      </c>
      <c r="D2" s="74"/>
      <c r="E2" s="74" t="s">
        <v>119</v>
      </c>
      <c r="F2" s="74"/>
      <c r="G2" s="74"/>
      <c r="H2" s="74"/>
      <c r="I2" s="74"/>
      <c r="J2" s="74"/>
      <c r="K2" s="74"/>
      <c r="L2" s="74"/>
      <c r="M2" s="74"/>
      <c r="N2" s="74"/>
      <c r="O2" s="74"/>
      <c r="P2" s="95"/>
      <c r="Q2" s="95"/>
    </row>
    <row r="3" ht="34.5" customHeight="true" spans="1:17">
      <c r="A3" s="74"/>
      <c r="B3" s="74"/>
      <c r="C3" s="74"/>
      <c r="D3" s="74"/>
      <c r="E3" s="90" t="s">
        <v>120</v>
      </c>
      <c r="F3" s="90" t="s">
        <v>121</v>
      </c>
      <c r="G3" s="90" t="s">
        <v>122</v>
      </c>
      <c r="H3" s="90" t="s">
        <v>123</v>
      </c>
      <c r="I3" s="90" t="s">
        <v>124</v>
      </c>
      <c r="J3" s="90" t="s">
        <v>125</v>
      </c>
      <c r="K3" s="90" t="s">
        <v>126</v>
      </c>
      <c r="L3" s="90" t="s">
        <v>127</v>
      </c>
      <c r="M3" s="90" t="s">
        <v>128</v>
      </c>
      <c r="N3" s="90" t="s">
        <v>129</v>
      </c>
      <c r="O3" s="90" t="s">
        <v>130</v>
      </c>
      <c r="P3" s="96" t="s">
        <v>131</v>
      </c>
      <c r="Q3" s="96" t="s">
        <v>132</v>
      </c>
    </row>
    <row r="4" ht="20.1" customHeight="true" spans="1:17">
      <c r="A4" s="75" t="s">
        <v>9</v>
      </c>
      <c r="B4" s="76" t="s">
        <v>133</v>
      </c>
      <c r="C4" s="74" t="s">
        <v>134</v>
      </c>
      <c r="D4" s="74"/>
      <c r="E4" s="90">
        <v>0.08</v>
      </c>
      <c r="F4" s="90">
        <v>0.07</v>
      </c>
      <c r="G4" s="90">
        <v>0.06</v>
      </c>
      <c r="H4" s="90">
        <v>0.05</v>
      </c>
      <c r="I4" s="90">
        <v>0.045</v>
      </c>
      <c r="J4" s="90">
        <v>0.03</v>
      </c>
      <c r="K4" s="90">
        <v>0.015</v>
      </c>
      <c r="L4" s="94"/>
      <c r="M4" s="94"/>
      <c r="N4" s="94"/>
      <c r="O4" s="94"/>
      <c r="P4" s="97"/>
      <c r="Q4" s="97"/>
    </row>
    <row r="5" ht="20.1" customHeight="true" spans="1:17">
      <c r="A5" s="77"/>
      <c r="B5" s="78"/>
      <c r="C5" s="79">
        <v>3500</v>
      </c>
      <c r="D5" s="80"/>
      <c r="E5" s="91">
        <f>IF(C5&gt;=100,100*E4/100,C5*E4/100)</f>
        <v>0.08</v>
      </c>
      <c r="F5" s="91">
        <f>IF(C5&lt;=100,0,IF(C5&gt;=500,400*F4/100,(C5-100)*F4/100))</f>
        <v>0.28</v>
      </c>
      <c r="G5" s="91">
        <f>IF(C5&lt;=500,0,IF(C5&gt;=1000,500*G4/100,(C5-500)*G4/100))</f>
        <v>0.3</v>
      </c>
      <c r="H5" s="91">
        <f>IF(C5&lt;=1000,0,IF(C5&gt;=3000,2000*H4/100,(C5-1000)*H4/100))</f>
        <v>1</v>
      </c>
      <c r="I5" s="91">
        <f>IF(C5&lt;=3000,0,IF(C5&gt;=5000,2000*I4/100,(C5-3000)*I4/100))</f>
        <v>0.225</v>
      </c>
      <c r="J5" s="91">
        <f>IF(C5&lt;=5000,0,IF(C5&gt;=10000,5000*J4/100,(C5-5000)*J4/100))</f>
        <v>0</v>
      </c>
      <c r="K5" s="91">
        <f>IF(C5&lt;=10000,0,(C5-10000)*K4/100)</f>
        <v>0</v>
      </c>
      <c r="L5" s="94"/>
      <c r="M5" s="94"/>
      <c r="N5" s="94"/>
      <c r="O5" s="94"/>
      <c r="P5" s="98">
        <f>SUM(E5:O5)</f>
        <v>1.885</v>
      </c>
      <c r="Q5" s="97"/>
    </row>
    <row r="6" ht="20.1" customHeight="true" spans="1:17">
      <c r="A6" s="74" t="s">
        <v>82</v>
      </c>
      <c r="B6" s="81" t="s">
        <v>135</v>
      </c>
      <c r="C6" s="74" t="s">
        <v>134</v>
      </c>
      <c r="D6" s="74"/>
      <c r="E6" s="90">
        <v>0.17</v>
      </c>
      <c r="F6" s="90">
        <v>0.15</v>
      </c>
      <c r="G6" s="90">
        <v>0.13</v>
      </c>
      <c r="H6" s="90">
        <v>0.11</v>
      </c>
      <c r="I6" s="90">
        <v>0.085</v>
      </c>
      <c r="J6" s="90">
        <v>0.07</v>
      </c>
      <c r="K6" s="90">
        <v>0.04</v>
      </c>
      <c r="L6" s="94"/>
      <c r="M6" s="94"/>
      <c r="N6" s="94"/>
      <c r="O6" s="94"/>
      <c r="P6" s="97"/>
      <c r="Q6" s="97"/>
    </row>
    <row r="7" ht="20.1" customHeight="true" spans="1:17">
      <c r="A7" s="74" t="s">
        <v>85</v>
      </c>
      <c r="B7" s="82" t="s">
        <v>136</v>
      </c>
      <c r="C7" s="83" t="s">
        <v>137</v>
      </c>
      <c r="D7" s="84"/>
      <c r="E7" s="90">
        <v>0.37</v>
      </c>
      <c r="F7" s="90">
        <v>0.35</v>
      </c>
      <c r="G7" s="90">
        <v>0.33</v>
      </c>
      <c r="H7" s="90">
        <v>0.29</v>
      </c>
      <c r="I7" s="90">
        <v>0.27</v>
      </c>
      <c r="J7" s="90">
        <v>0.22</v>
      </c>
      <c r="K7" s="90">
        <v>0.18</v>
      </c>
      <c r="L7" s="94"/>
      <c r="M7" s="94"/>
      <c r="N7" s="94"/>
      <c r="O7" s="94"/>
      <c r="P7" s="97"/>
      <c r="Q7" s="97"/>
    </row>
    <row r="8" ht="20.1" customHeight="true" spans="1:17">
      <c r="A8" s="74"/>
      <c r="B8" s="85" t="s">
        <v>138</v>
      </c>
      <c r="C8" s="83" t="s">
        <v>137</v>
      </c>
      <c r="D8" s="84"/>
      <c r="E8" s="90">
        <v>0.37</v>
      </c>
      <c r="F8" s="90">
        <v>0.35</v>
      </c>
      <c r="G8" s="90">
        <v>0.33</v>
      </c>
      <c r="H8" s="90">
        <v>0.29</v>
      </c>
      <c r="I8" s="90">
        <v>0.27</v>
      </c>
      <c r="J8" s="90">
        <v>0.22</v>
      </c>
      <c r="K8" s="90">
        <v>0.18</v>
      </c>
      <c r="L8" s="94"/>
      <c r="M8" s="94"/>
      <c r="N8" s="94"/>
      <c r="O8" s="94"/>
      <c r="P8" s="97"/>
      <c r="Q8" s="97"/>
    </row>
    <row r="9" ht="20.1" customHeight="true" spans="1:17">
      <c r="A9" s="74"/>
      <c r="B9" s="86"/>
      <c r="C9" s="87" t="e">
        <f>#REF!</f>
        <v>#REF!</v>
      </c>
      <c r="D9" s="80"/>
      <c r="E9" s="91" t="e">
        <f>IF(C9&gt;=100,100*E8/100,C9*E8/100)</f>
        <v>#REF!</v>
      </c>
      <c r="F9" s="91" t="e">
        <f>IF(C9&lt;=100,0,IF(C9&gt;=500,400*F8/100,(C9-100)*F8/100))</f>
        <v>#REF!</v>
      </c>
      <c r="G9" s="91" t="e">
        <f>IF(C9&lt;=500,0,IF(C9&gt;=1000,500*G8/100,(C9-500)*G8/100))</f>
        <v>#REF!</v>
      </c>
      <c r="H9" s="91" t="e">
        <f>IF(C9&lt;=1000,0,IF(C9&gt;=3000,2000*H8/100,(C9-1000)*H8/100))</f>
        <v>#REF!</v>
      </c>
      <c r="I9" s="91" t="e">
        <f>IF(C9&lt;=3000,0,IF(C9&gt;=5000,2000*I8/100,(C9-3000)*I8/100))</f>
        <v>#REF!</v>
      </c>
      <c r="J9" s="91" t="e">
        <f>IF(C9&lt;=5000,0,IF(C9&gt;=10000,5000*J8/100,(C9-5000)*J8/100))</f>
        <v>#REF!</v>
      </c>
      <c r="K9" s="91" t="e">
        <f>IF(C9&lt;=10000,0,(C9-10000)*K8/100)</f>
        <v>#REF!</v>
      </c>
      <c r="L9" s="94"/>
      <c r="M9" s="94"/>
      <c r="N9" s="94"/>
      <c r="O9" s="94"/>
      <c r="P9" s="98" t="e">
        <f>SUM(E9:O9)</f>
        <v>#REF!</v>
      </c>
      <c r="Q9" s="97"/>
    </row>
    <row r="10" ht="20.1" customHeight="true" spans="1:17">
      <c r="A10" s="74"/>
      <c r="B10" s="82" t="s">
        <v>139</v>
      </c>
      <c r="C10" s="83" t="s">
        <v>137</v>
      </c>
      <c r="D10" s="84"/>
      <c r="E10" s="90">
        <v>0.37</v>
      </c>
      <c r="F10" s="90">
        <v>0.35</v>
      </c>
      <c r="G10" s="90">
        <v>0.33</v>
      </c>
      <c r="H10" s="90">
        <v>0.29</v>
      </c>
      <c r="I10" s="90">
        <v>0.27</v>
      </c>
      <c r="J10" s="90">
        <v>0.22</v>
      </c>
      <c r="K10" s="90">
        <v>0.18</v>
      </c>
      <c r="L10" s="94"/>
      <c r="M10" s="94"/>
      <c r="N10" s="94"/>
      <c r="O10" s="94"/>
      <c r="P10" s="97"/>
      <c r="Q10" s="100" t="s">
        <v>140</v>
      </c>
    </row>
    <row r="11" ht="20.1" customHeight="true" spans="1:17">
      <c r="A11" s="75" t="s">
        <v>106</v>
      </c>
      <c r="B11" s="76" t="s">
        <v>141</v>
      </c>
      <c r="C11" s="74" t="s">
        <v>142</v>
      </c>
      <c r="D11" s="74"/>
      <c r="E11" s="90">
        <v>0.04</v>
      </c>
      <c r="F11" s="90">
        <v>0.04</v>
      </c>
      <c r="G11" s="90">
        <v>0.04</v>
      </c>
      <c r="H11" s="90">
        <v>0.036</v>
      </c>
      <c r="I11" s="90">
        <v>0.032</v>
      </c>
      <c r="J11" s="90">
        <v>0.024</v>
      </c>
      <c r="K11" s="90">
        <v>0.02</v>
      </c>
      <c r="L11" s="90">
        <v>0.02</v>
      </c>
      <c r="M11" s="90">
        <v>0.008</v>
      </c>
      <c r="N11" s="90">
        <v>0.006</v>
      </c>
      <c r="O11" s="90">
        <v>0.004</v>
      </c>
      <c r="P11" s="97"/>
      <c r="Q11" s="97"/>
    </row>
    <row r="12" ht="20.1" customHeight="true" spans="1:17">
      <c r="A12" s="77"/>
      <c r="B12" s="78"/>
      <c r="C12" s="87" t="e">
        <f>#REF!</f>
        <v>#REF!</v>
      </c>
      <c r="D12" s="80"/>
      <c r="E12" s="91" t="e">
        <f>IF(C12&gt;=100,100*E11/100,C12*E11/100)</f>
        <v>#REF!</v>
      </c>
      <c r="F12" s="91" t="e">
        <f>IF(C12&lt;=100,0,IF(C12&gt;=500,400*F11/100,(C12-100)*F11/100))</f>
        <v>#REF!</v>
      </c>
      <c r="G12" s="91" t="e">
        <f>IF(C12&lt;=500,0,IF(C12&gt;=1000,500*G11/100,(C12-500)*G11/100))</f>
        <v>#REF!</v>
      </c>
      <c r="H12" s="91" t="e">
        <f>IF(C12&lt;=1000,0,IF(C12&gt;=3000,2000*H11/100,(C12-1000)*H11/100))</f>
        <v>#REF!</v>
      </c>
      <c r="I12" s="91" t="e">
        <f>IF(C12&lt;=3000,0,IF(C12&gt;=5000,2000*I11/100,(C12-3000)*I11/100))</f>
        <v>#REF!</v>
      </c>
      <c r="J12" s="91" t="e">
        <f>IF(C12&lt;=5000,0,IF(C12&gt;=10000,5000*J11/100,(C12-5000)*J11/100))</f>
        <v>#REF!</v>
      </c>
      <c r="K12" s="91" t="e">
        <f>IF(C12&lt;=10000,0,IF(C12&gt;=50000,40000*K11/100,(C12-10000)*K11/100))</f>
        <v>#REF!</v>
      </c>
      <c r="L12" s="91" t="e">
        <f>IF(C12&lt;=50000,0,IF(C12&gt;=100000,50000*L11/100,(C12-50000)*L11/100))</f>
        <v>#REF!</v>
      </c>
      <c r="M12" s="91" t="e">
        <f>IF(C12&lt;=100000,0,IF(C12&gt;=500000,400000*M11/100,(C12-100000)*M11/100))</f>
        <v>#REF!</v>
      </c>
      <c r="N12" s="91" t="e">
        <f>IF(C12&lt;=500000,0,IF(C12&gt;=1000000,500000*N11/100,(D12-500000)*N11/100))</f>
        <v>#REF!</v>
      </c>
      <c r="O12" s="91" t="e">
        <f>IF(C12&lt;=1000000,0,(C12-1000000)*O11/100)</f>
        <v>#REF!</v>
      </c>
      <c r="P12" s="98" t="e">
        <f>SUM(E12:O12)</f>
        <v>#REF!</v>
      </c>
      <c r="Q12" s="97"/>
    </row>
    <row r="13" ht="20.1" customHeight="true" spans="1:17">
      <c r="A13" s="75" t="s">
        <v>143</v>
      </c>
      <c r="B13" s="76" t="s">
        <v>144</v>
      </c>
      <c r="C13" s="74" t="s">
        <v>142</v>
      </c>
      <c r="D13" s="74"/>
      <c r="E13" s="90">
        <v>0.1</v>
      </c>
      <c r="F13" s="90">
        <v>0.1</v>
      </c>
      <c r="G13" s="90">
        <v>0.1</v>
      </c>
      <c r="H13" s="90">
        <v>0.09</v>
      </c>
      <c r="I13" s="90">
        <v>0.08</v>
      </c>
      <c r="J13" s="90">
        <v>0.06</v>
      </c>
      <c r="K13" s="90">
        <v>0.05</v>
      </c>
      <c r="L13" s="90">
        <v>0.035</v>
      </c>
      <c r="M13" s="90">
        <v>0.008</v>
      </c>
      <c r="N13" s="90">
        <v>0.006</v>
      </c>
      <c r="O13" s="90">
        <v>0.004</v>
      </c>
      <c r="P13" s="97"/>
      <c r="Q13" s="97"/>
    </row>
    <row r="14" ht="20.1" customHeight="true" spans="1:17">
      <c r="A14" s="77"/>
      <c r="B14" s="78"/>
      <c r="C14" s="87" t="e">
        <f>C12</f>
        <v>#REF!</v>
      </c>
      <c r="D14" s="80"/>
      <c r="E14" s="91" t="e">
        <f>IF(C14&gt;=100,100*E13/100,C14*E13/100)</f>
        <v>#REF!</v>
      </c>
      <c r="F14" s="91" t="e">
        <f>IF(C14&lt;=100,0,IF(C14&gt;=500,400*F13/100,(C14-100)*F13/100))</f>
        <v>#REF!</v>
      </c>
      <c r="G14" s="91" t="e">
        <f>IF(C14&lt;=500,0,IF(C14&gt;=1000,500*G13/100,(C14-500)*G13/100))</f>
        <v>#REF!</v>
      </c>
      <c r="H14" s="91" t="e">
        <f>IF(C14&lt;=1000,0,IF(C14&gt;=3000,2000*H13/100,(C14-1000)*H13/100))</f>
        <v>#REF!</v>
      </c>
      <c r="I14" s="91" t="e">
        <f>IF(C14&lt;=3000,0,IF(C14&gt;=5000,2000*I13/100,(C14-3000)*I13/100))</f>
        <v>#REF!</v>
      </c>
      <c r="J14" s="91" t="e">
        <f>IF(C14&lt;=5000,0,IF(C14&gt;=10000,5000*J13/100,(C14-5000)*J13/100))</f>
        <v>#REF!</v>
      </c>
      <c r="K14" s="91" t="e">
        <f>IF(C14&lt;=10000,0,IF(C14&gt;=50000,40000*K13/100,(C14-10000)*K13/100))</f>
        <v>#REF!</v>
      </c>
      <c r="L14" s="91" t="e">
        <f>IF(C14&lt;=50000,0,IF(C14&gt;=100000,50000*L13/100,(C14-50000)*L13/100))</f>
        <v>#REF!</v>
      </c>
      <c r="M14" s="91" t="e">
        <f>IF(C14&lt;=100000,0,IF(C14&gt;=500000,400000*M13/100,(C14-100000)*M13/100))</f>
        <v>#REF!</v>
      </c>
      <c r="N14" s="91" t="e">
        <f>IF(C14&lt;=500000,0,IF(C14&gt;=1000000,500000*N13/100,(D14-500000)*N13/100))</f>
        <v>#REF!</v>
      </c>
      <c r="O14" s="91" t="e">
        <f>IF(C14&lt;=1000000,0,(C14-1000000)*O13/100)</f>
        <v>#REF!</v>
      </c>
      <c r="P14" s="98" t="e">
        <f>SUM(E14:O14)</f>
        <v>#REF!</v>
      </c>
      <c r="Q14" s="97"/>
    </row>
    <row r="15" ht="20.1" customHeight="true" spans="1:17">
      <c r="A15" s="75" t="s">
        <v>145</v>
      </c>
      <c r="B15" s="76" t="s">
        <v>146</v>
      </c>
      <c r="C15" s="74" t="s">
        <v>137</v>
      </c>
      <c r="D15" s="74"/>
      <c r="E15" s="90">
        <v>0.11</v>
      </c>
      <c r="F15" s="90">
        <v>0.11</v>
      </c>
      <c r="G15" s="90">
        <v>0.11</v>
      </c>
      <c r="H15" s="90">
        <v>0.1</v>
      </c>
      <c r="I15" s="90">
        <v>0.085</v>
      </c>
      <c r="J15" s="90">
        <v>0.07</v>
      </c>
      <c r="K15" s="90">
        <v>0.06</v>
      </c>
      <c r="L15" s="90">
        <v>0.035</v>
      </c>
      <c r="M15" s="90">
        <v>0.008</v>
      </c>
      <c r="N15" s="90">
        <v>0.006</v>
      </c>
      <c r="O15" s="90">
        <v>0.004</v>
      </c>
      <c r="P15" s="97"/>
      <c r="Q15" s="97"/>
    </row>
    <row r="16" ht="20.1" customHeight="true" spans="1:17">
      <c r="A16" s="77"/>
      <c r="B16" s="78"/>
      <c r="C16" s="87" t="e">
        <f>C9</f>
        <v>#REF!</v>
      </c>
      <c r="D16" s="80"/>
      <c r="E16" s="91" t="e">
        <f>IF(C16&gt;=100,100*E15/100,C16*E15/100)</f>
        <v>#REF!</v>
      </c>
      <c r="F16" s="91" t="e">
        <f>IF(C16&lt;=100,0,IF(C16&gt;=500,400*F15/100,(C16-100)*F15/100))</f>
        <v>#REF!</v>
      </c>
      <c r="G16" s="91" t="e">
        <f>IF(C16&lt;=500,0,IF(C16&gt;=1000,500*G15/100,(C16-500)*G15/100))</f>
        <v>#REF!</v>
      </c>
      <c r="H16" s="91" t="e">
        <f>IF(C16&lt;=1000,0,IF(C16&gt;=3000,2000*H15/100,(C16-1000)*H15/100))</f>
        <v>#REF!</v>
      </c>
      <c r="I16" s="91" t="e">
        <f>IF(C16&lt;=3000,0,IF(C16&gt;=5000,2000*I15/100,(C16-3000)*I15/100))</f>
        <v>#REF!</v>
      </c>
      <c r="J16" s="91" t="e">
        <f>IF(C16&lt;=5000,0,IF(C16&gt;=10000,5000*J15/100,(C16-5000)*J15/100))</f>
        <v>#REF!</v>
      </c>
      <c r="K16" s="91" t="e">
        <f>IF(C16&lt;=10000,0,IF(C16&gt;=50000,40000*K15/100,(C16-10000)*K15/100))</f>
        <v>#REF!</v>
      </c>
      <c r="L16" s="91" t="e">
        <f>IF(C16&lt;=50000,0,IF(C16&gt;=100000,50000*L15/100,(C16-50000)*L15/100))</f>
        <v>#REF!</v>
      </c>
      <c r="M16" s="91" t="e">
        <f>IF(C16&lt;=100000,0,IF(C16&gt;=500000,400000*M15/100,(C16-100000)*M15/100))</f>
        <v>#REF!</v>
      </c>
      <c r="N16" s="91" t="e">
        <f>IF(C16&lt;=500000,0,IF(C16&gt;=1000000,500000*N15/100,(D16-500000)*N15/100))</f>
        <v>#REF!</v>
      </c>
      <c r="O16" s="91" t="e">
        <f>IF(C16&lt;=1000000,0,(C16-1000000)*O15/100)</f>
        <v>#REF!</v>
      </c>
      <c r="P16" s="98" t="e">
        <f>SUM(E16:O16)</f>
        <v>#REF!</v>
      </c>
      <c r="Q16" s="97"/>
    </row>
    <row r="17" ht="20.1" customHeight="true" spans="1:17">
      <c r="A17" s="75" t="s">
        <v>147</v>
      </c>
      <c r="B17" s="76" t="s">
        <v>148</v>
      </c>
      <c r="C17" s="74" t="s">
        <v>137</v>
      </c>
      <c r="D17" s="74"/>
      <c r="E17" s="90">
        <v>0.31</v>
      </c>
      <c r="F17" s="90">
        <v>0.31</v>
      </c>
      <c r="G17" s="90">
        <v>0.31</v>
      </c>
      <c r="H17" s="90">
        <v>0.285</v>
      </c>
      <c r="I17" s="90">
        <v>0.26</v>
      </c>
      <c r="J17" s="90">
        <v>0.22</v>
      </c>
      <c r="K17" s="90">
        <v>0.18</v>
      </c>
      <c r="L17" s="90">
        <v>0.035</v>
      </c>
      <c r="M17" s="90">
        <v>0.008</v>
      </c>
      <c r="N17" s="90">
        <v>0.006</v>
      </c>
      <c r="O17" s="90">
        <v>0.004</v>
      </c>
      <c r="P17" s="97"/>
      <c r="Q17" s="97"/>
    </row>
    <row r="18" ht="20.1" customHeight="true" spans="1:17">
      <c r="A18" s="77"/>
      <c r="B18" s="78"/>
      <c r="C18" s="87" t="e">
        <f>C9</f>
        <v>#REF!</v>
      </c>
      <c r="D18" s="80"/>
      <c r="E18" s="91" t="e">
        <f>IF(C18&gt;=100,100*E17/100,C18*E17/100)</f>
        <v>#REF!</v>
      </c>
      <c r="F18" s="91" t="e">
        <f>IF(C18&lt;=100,0,IF(C18&gt;=500,400*F17/100,(C18-100)*F17/100))</f>
        <v>#REF!</v>
      </c>
      <c r="G18" s="91" t="e">
        <f>IF(C18&lt;=500,0,IF(C18&gt;=1000,500*G17/100,(C18-500)*G17/100))</f>
        <v>#REF!</v>
      </c>
      <c r="H18" s="91" t="e">
        <f>IF(C18&lt;=1000,0,IF(C18&gt;=3000,2000*H17/100,(C18-1000)*H17/100))</f>
        <v>#REF!</v>
      </c>
      <c r="I18" s="91" t="e">
        <f>IF(C18&lt;=3000,0,IF(C18&gt;=5000,2000*I17/100,(C18-3000)*I17/100))</f>
        <v>#REF!</v>
      </c>
      <c r="J18" s="91" t="e">
        <f>IF(C18&lt;=5000,0,IF(C18&gt;=10000,5000*J17/100,(C18-5000)*J17/100))</f>
        <v>#REF!</v>
      </c>
      <c r="K18" s="91" t="e">
        <f>IF(C18&lt;=10000,0,IF(C18&gt;=50000,40000*K17/100,(C18-10000)*K17/100))</f>
        <v>#REF!</v>
      </c>
      <c r="L18" s="91" t="e">
        <f>IF(C18&lt;=50000,0,IF(C18&gt;=100000,50000*L17/100,(C18-50000)*L17/100))</f>
        <v>#REF!</v>
      </c>
      <c r="M18" s="91" t="e">
        <f>IF(C18&lt;=100000,0,IF(C18&gt;=500000,400000*M17/100,(C18-100000)*M17/100))</f>
        <v>#REF!</v>
      </c>
      <c r="N18" s="91" t="e">
        <f>IF(C18&lt;=500000,0,IF(C18&gt;=1000000,500000*N17/100,(D18-500000)*N17/100))</f>
        <v>#REF!</v>
      </c>
      <c r="O18" s="91" t="e">
        <f>IF(C18&lt;=1000000,0,(C18-1000000)*O17/100)</f>
        <v>#REF!</v>
      </c>
      <c r="P18" s="98" t="e">
        <f>SUM(E18:O18)</f>
        <v>#REF!</v>
      </c>
      <c r="Q18" s="97"/>
    </row>
    <row r="19" ht="20.1" customHeight="true" spans="1:17">
      <c r="A19" s="74" t="s">
        <v>149</v>
      </c>
      <c r="B19" s="76" t="s">
        <v>150</v>
      </c>
      <c r="C19" s="83" t="s">
        <v>137</v>
      </c>
      <c r="D19" s="84"/>
      <c r="E19" s="90">
        <v>1.1</v>
      </c>
      <c r="F19" s="90">
        <v>1</v>
      </c>
      <c r="G19" s="90">
        <v>0.85</v>
      </c>
      <c r="H19" s="90">
        <v>0.8</v>
      </c>
      <c r="I19" s="90">
        <v>0.75</v>
      </c>
      <c r="J19" s="90">
        <v>0.7</v>
      </c>
      <c r="K19" s="90">
        <v>0.65</v>
      </c>
      <c r="L19" s="94"/>
      <c r="M19" s="94"/>
      <c r="N19" s="94"/>
      <c r="O19" s="94"/>
      <c r="P19" s="97"/>
      <c r="Q19" s="97"/>
    </row>
    <row r="20" ht="20.1" customHeight="true" spans="1:17">
      <c r="A20" s="74"/>
      <c r="B20" s="78"/>
      <c r="C20" s="87" t="e">
        <f>C9</f>
        <v>#REF!</v>
      </c>
      <c r="D20" s="80"/>
      <c r="E20" s="91" t="e">
        <f>IF(C20&gt;=100,100*E19/100,C20*E19/100)</f>
        <v>#REF!</v>
      </c>
      <c r="F20" s="91" t="e">
        <f>IF(C20&lt;=100,0,IF(C20&gt;=500,400*F19/100,(C20-100)*F19/100))</f>
        <v>#REF!</v>
      </c>
      <c r="G20" s="91" t="e">
        <f>IF(C20&lt;=500,0,IF(C20&gt;=1000,500*G19/100,(C20-500)*G19/100))</f>
        <v>#REF!</v>
      </c>
      <c r="H20" s="91" t="e">
        <f>IF(C20&lt;=1000,0,IF(C20&gt;=3000,2000*H19/100,(C20-1000)*H19/100))</f>
        <v>#REF!</v>
      </c>
      <c r="I20" s="91" t="e">
        <f>IF(C20&lt;=3000,0,IF(C20&gt;=5000,2000*I19/100,(C20-3000)*I19/100))</f>
        <v>#REF!</v>
      </c>
      <c r="J20" s="91" t="e">
        <f>IF(C20&lt;=5000,0,IF(C20&gt;=10000,5000*J19/100,(C20-5000)*J19/100))</f>
        <v>#REF!</v>
      </c>
      <c r="K20" s="91" t="e">
        <f>IF(C20&lt;=10000,0,(C20-10000)*K19/100)</f>
        <v>#REF!</v>
      </c>
      <c r="L20" s="94"/>
      <c r="M20" s="94"/>
      <c r="N20" s="94"/>
      <c r="O20" s="94"/>
      <c r="P20" s="98" t="e">
        <f>SUM(E20:O20)</f>
        <v>#REF!</v>
      </c>
      <c r="Q20" s="97"/>
    </row>
    <row r="21" ht="20.1" customHeight="true" spans="1:17">
      <c r="A21" s="74" t="s">
        <v>151</v>
      </c>
      <c r="B21" s="81" t="s">
        <v>152</v>
      </c>
      <c r="C21" s="74" t="s">
        <v>153</v>
      </c>
      <c r="D21" s="74" t="s">
        <v>154</v>
      </c>
      <c r="E21" s="90">
        <v>0.36</v>
      </c>
      <c r="F21" s="90">
        <v>0.28</v>
      </c>
      <c r="G21" s="90">
        <v>0.22</v>
      </c>
      <c r="H21" s="90">
        <v>0.18</v>
      </c>
      <c r="I21" s="90">
        <v>0.15</v>
      </c>
      <c r="J21" s="90">
        <v>0.12</v>
      </c>
      <c r="K21" s="90">
        <v>0.09</v>
      </c>
      <c r="L21" s="94"/>
      <c r="M21" s="94"/>
      <c r="N21" s="94"/>
      <c r="O21" s="94"/>
      <c r="P21" s="97"/>
      <c r="Q21" s="97"/>
    </row>
    <row r="22" ht="20.1" customHeight="true" spans="1:17">
      <c r="A22" s="74"/>
      <c r="B22" s="81"/>
      <c r="C22" s="74"/>
      <c r="D22" s="74" t="s">
        <v>155</v>
      </c>
      <c r="E22" s="90">
        <v>0.36</v>
      </c>
      <c r="F22" s="90">
        <v>0.31</v>
      </c>
      <c r="G22" s="90">
        <v>0.22</v>
      </c>
      <c r="H22" s="90">
        <v>0.19</v>
      </c>
      <c r="I22" s="90">
        <v>0.16</v>
      </c>
      <c r="J22" s="90">
        <v>0.12</v>
      </c>
      <c r="K22" s="90">
        <v>0.09</v>
      </c>
      <c r="L22" s="94"/>
      <c r="M22" s="94"/>
      <c r="N22" s="94"/>
      <c r="O22" s="94"/>
      <c r="P22" s="97"/>
      <c r="Q22" s="97"/>
    </row>
    <row r="23" ht="20.1" customHeight="true" spans="1:17">
      <c r="A23" s="74"/>
      <c r="B23" s="81"/>
      <c r="C23" s="74" t="s">
        <v>156</v>
      </c>
      <c r="D23" s="74" t="s">
        <v>154</v>
      </c>
      <c r="E23" s="90">
        <v>6.3</v>
      </c>
      <c r="F23" s="90">
        <v>5.7</v>
      </c>
      <c r="G23" s="90">
        <v>5.1</v>
      </c>
      <c r="H23" s="90">
        <v>4</v>
      </c>
      <c r="I23" s="90">
        <v>3.8</v>
      </c>
      <c r="J23" s="90">
        <v>3.6</v>
      </c>
      <c r="K23" s="90">
        <v>3.2</v>
      </c>
      <c r="L23" s="94"/>
      <c r="M23" s="94"/>
      <c r="N23" s="94"/>
      <c r="O23" s="94"/>
      <c r="P23" s="97"/>
      <c r="Q23" s="97"/>
    </row>
    <row r="24" ht="20.1" customHeight="true" spans="1:17">
      <c r="A24" s="74"/>
      <c r="B24" s="81"/>
      <c r="C24" s="74"/>
      <c r="D24" s="74" t="s">
        <v>155</v>
      </c>
      <c r="E24" s="90">
        <v>7.3</v>
      </c>
      <c r="F24" s="90">
        <v>6.7</v>
      </c>
      <c r="G24" s="90">
        <v>6.1</v>
      </c>
      <c r="H24" s="90">
        <v>5</v>
      </c>
      <c r="I24" s="90">
        <v>4.5</v>
      </c>
      <c r="J24" s="90">
        <v>3.7</v>
      </c>
      <c r="K24" s="90">
        <v>3.2</v>
      </c>
      <c r="L24" s="94"/>
      <c r="M24" s="94"/>
      <c r="N24" s="94"/>
      <c r="O24" s="94"/>
      <c r="P24" s="97"/>
      <c r="Q24" s="97"/>
    </row>
    <row r="25" ht="20.1" customHeight="true" spans="1:17">
      <c r="A25" s="74" t="s">
        <v>157</v>
      </c>
      <c r="B25" s="81" t="s">
        <v>158</v>
      </c>
      <c r="C25" s="74" t="s">
        <v>159</v>
      </c>
      <c r="D25" s="74"/>
      <c r="E25" s="92" t="s">
        <v>160</v>
      </c>
      <c r="F25" s="93"/>
      <c r="G25" s="93"/>
      <c r="H25" s="93"/>
      <c r="I25" s="93"/>
      <c r="J25" s="93"/>
      <c r="K25" s="93"/>
      <c r="L25" s="93"/>
      <c r="M25" s="93"/>
      <c r="N25" s="93"/>
      <c r="O25" s="99"/>
      <c r="P25" s="97"/>
      <c r="Q25" s="97"/>
    </row>
    <row r="27" ht="14.25" spans="1:1">
      <c r="A27" s="88" t="s">
        <v>161</v>
      </c>
    </row>
    <row r="28" ht="15.75" spans="1:1">
      <c r="A28" s="89" t="s">
        <v>162</v>
      </c>
    </row>
    <row r="29" ht="15.75" spans="1:1">
      <c r="A29" s="88" t="s">
        <v>163</v>
      </c>
    </row>
    <row r="30" ht="15.75" spans="1:1">
      <c r="A30" s="88" t="s">
        <v>164</v>
      </c>
    </row>
    <row r="31" ht="15.75" spans="1:1">
      <c r="A31" s="88" t="s">
        <v>165</v>
      </c>
    </row>
    <row r="32" ht="15.75" spans="1:1">
      <c r="A32" s="88" t="s">
        <v>166</v>
      </c>
    </row>
    <row r="33" ht="15.75" spans="1:1">
      <c r="A33" s="89" t="s">
        <v>167</v>
      </c>
    </row>
    <row r="34" ht="15.75" spans="1:1">
      <c r="A34" s="89" t="s">
        <v>168</v>
      </c>
    </row>
    <row r="35" ht="15.75" spans="1:1">
      <c r="A35" s="89" t="s">
        <v>169</v>
      </c>
    </row>
    <row r="36" ht="15.75" spans="1:1">
      <c r="A36" s="89" t="s">
        <v>170</v>
      </c>
    </row>
    <row r="37" ht="15.75" spans="1:1">
      <c r="A37" s="88" t="s">
        <v>171</v>
      </c>
    </row>
    <row r="38" ht="15.75" spans="1:1">
      <c r="A38" s="88" t="s">
        <v>172</v>
      </c>
    </row>
    <row r="39" ht="15.75" spans="1:1">
      <c r="A39" s="88" t="s">
        <v>173</v>
      </c>
    </row>
    <row r="40" ht="15.75" spans="1:1">
      <c r="A40" s="88" t="s">
        <v>174</v>
      </c>
    </row>
    <row r="41" ht="15.75" spans="1:1">
      <c r="A41" s="89" t="s">
        <v>175</v>
      </c>
    </row>
    <row r="42" ht="15.75" spans="1:1">
      <c r="A42" s="88" t="s">
        <v>176</v>
      </c>
    </row>
    <row r="43" ht="15.75" spans="1:1">
      <c r="A43" s="89" t="s">
        <v>177</v>
      </c>
    </row>
    <row r="44" ht="15.75" spans="1:1">
      <c r="A44" s="88" t="s">
        <v>178</v>
      </c>
    </row>
    <row r="45" ht="15.75" spans="1:1">
      <c r="A45" s="88" t="s">
        <v>179</v>
      </c>
    </row>
    <row r="46" ht="15.75" spans="1:1">
      <c r="A46" s="88" t="s">
        <v>180</v>
      </c>
    </row>
    <row r="47" ht="15.75" spans="1:1">
      <c r="A47" s="88"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opLeftCell="A19" workbookViewId="0">
      <selection activeCell="A1" sqref="A1"/>
    </sheetView>
  </sheetViews>
  <sheetFormatPr defaultColWidth="9" defaultRowHeight="13.5" outlineLevelCol="5"/>
  <cols>
    <col min="1" max="1" width="7.375" customWidth="true"/>
    <col min="2" max="2" width="32.25" customWidth="true"/>
    <col min="3" max="3" width="8.625" customWidth="true"/>
    <col min="4" max="6" width="12.625" customWidth="true"/>
  </cols>
  <sheetData>
    <row r="1" ht="14.25" spans="1:6">
      <c r="A1" s="1" t="s">
        <v>182</v>
      </c>
      <c r="B1" s="2"/>
      <c r="C1" s="3"/>
      <c r="D1" s="4"/>
      <c r="E1" s="3"/>
      <c r="F1" s="3"/>
    </row>
    <row r="2" ht="18.75" spans="1:6">
      <c r="A2" s="5" t="s">
        <v>183</v>
      </c>
      <c r="B2" s="5"/>
      <c r="C2" s="5"/>
      <c r="D2" s="5"/>
      <c r="E2" s="5"/>
      <c r="F2" s="5"/>
    </row>
    <row r="3" ht="31.5" spans="1:6">
      <c r="A3" s="6" t="s">
        <v>1</v>
      </c>
      <c r="B3" s="6" t="s">
        <v>184</v>
      </c>
      <c r="C3" s="6" t="s">
        <v>4</v>
      </c>
      <c r="D3" s="6" t="s">
        <v>5</v>
      </c>
      <c r="E3" s="6" t="s">
        <v>6</v>
      </c>
      <c r="F3" s="34" t="s">
        <v>185</v>
      </c>
    </row>
    <row r="4" spans="1:6">
      <c r="A4" s="7" t="s">
        <v>9</v>
      </c>
      <c r="B4" s="43" t="s">
        <v>186</v>
      </c>
      <c r="C4" s="8"/>
      <c r="D4" s="9"/>
      <c r="E4" s="35"/>
      <c r="F4" s="36">
        <f>F5+F7+F30</f>
        <v>1412.57</v>
      </c>
    </row>
    <row r="5" spans="1:6">
      <c r="A5" s="10" t="s">
        <v>187</v>
      </c>
      <c r="B5" s="68" t="s">
        <v>13</v>
      </c>
      <c r="C5" s="11"/>
      <c r="D5" s="11"/>
      <c r="E5" s="37"/>
      <c r="F5" s="51">
        <f>F6</f>
        <v>0.57</v>
      </c>
    </row>
    <row r="6" spans="1:6">
      <c r="A6" s="15">
        <v>1</v>
      </c>
      <c r="B6" s="69" t="s">
        <v>13</v>
      </c>
      <c r="C6" s="17" t="s">
        <v>14</v>
      </c>
      <c r="D6" s="18">
        <v>11.33</v>
      </c>
      <c r="E6" s="39">
        <v>500</v>
      </c>
      <c r="F6" s="40">
        <f>E6*D6/10000</f>
        <v>0.57</v>
      </c>
    </row>
    <row r="7" spans="1:6">
      <c r="A7" s="12" t="s">
        <v>188</v>
      </c>
      <c r="B7" s="70" t="s">
        <v>189</v>
      </c>
      <c r="C7" s="9"/>
      <c r="D7" s="14"/>
      <c r="E7" s="38"/>
      <c r="F7" s="36">
        <f>F8+F14+F27</f>
        <v>1236.74</v>
      </c>
    </row>
    <row r="8" spans="1:6">
      <c r="A8" s="15">
        <v>1</v>
      </c>
      <c r="B8" s="69" t="s">
        <v>190</v>
      </c>
      <c r="C8" s="17"/>
      <c r="D8" s="18"/>
      <c r="E8" s="39"/>
      <c r="F8" s="40">
        <f>SUM(F9:F13)</f>
        <v>288.2</v>
      </c>
    </row>
    <row r="9" spans="1:6">
      <c r="A9" s="15" t="s">
        <v>27</v>
      </c>
      <c r="B9" s="69" t="s">
        <v>191</v>
      </c>
      <c r="C9" s="17" t="s">
        <v>19</v>
      </c>
      <c r="D9" s="18">
        <v>4</v>
      </c>
      <c r="E9" s="39">
        <v>239192.77</v>
      </c>
      <c r="F9" s="40">
        <v>95.68</v>
      </c>
    </row>
    <row r="10" spans="1:6">
      <c r="A10" s="15" t="s">
        <v>30</v>
      </c>
      <c r="B10" s="69" t="s">
        <v>192</v>
      </c>
      <c r="C10" s="17" t="s">
        <v>19</v>
      </c>
      <c r="D10" s="18">
        <v>1</v>
      </c>
      <c r="E10" s="39">
        <v>289119.71</v>
      </c>
      <c r="F10" s="40">
        <v>28.91</v>
      </c>
    </row>
    <row r="11" spans="1:6">
      <c r="A11" s="15" t="s">
        <v>32</v>
      </c>
      <c r="B11" s="69" t="s">
        <v>193</v>
      </c>
      <c r="C11" s="17" t="s">
        <v>19</v>
      </c>
      <c r="D11" s="18">
        <v>4</v>
      </c>
      <c r="E11" s="39">
        <v>298240</v>
      </c>
      <c r="F11" s="40">
        <v>119.3</v>
      </c>
    </row>
    <row r="12" spans="1:6">
      <c r="A12" s="15" t="s">
        <v>34</v>
      </c>
      <c r="B12" s="69" t="s">
        <v>194</v>
      </c>
      <c r="C12" s="17" t="s">
        <v>19</v>
      </c>
      <c r="D12" s="18">
        <v>1</v>
      </c>
      <c r="E12" s="39">
        <v>236121</v>
      </c>
      <c r="F12" s="40">
        <v>23.61</v>
      </c>
    </row>
    <row r="13" spans="1:6">
      <c r="A13" s="15" t="s">
        <v>36</v>
      </c>
      <c r="B13" s="69" t="s">
        <v>195</v>
      </c>
      <c r="C13" s="17" t="s">
        <v>29</v>
      </c>
      <c r="D13" s="18">
        <v>115</v>
      </c>
      <c r="E13" s="39">
        <v>1800</v>
      </c>
      <c r="F13" s="40">
        <v>20.7</v>
      </c>
    </row>
    <row r="14" spans="1:6">
      <c r="A14" s="15">
        <v>2</v>
      </c>
      <c r="B14" s="69" t="s">
        <v>196</v>
      </c>
      <c r="C14" s="17"/>
      <c r="D14" s="18"/>
      <c r="E14" s="39"/>
      <c r="F14" s="40">
        <f>SUM(F15:F26)</f>
        <v>488.98</v>
      </c>
    </row>
    <row r="15" spans="1:6">
      <c r="A15" s="15" t="s">
        <v>27</v>
      </c>
      <c r="B15" s="69" t="s">
        <v>197</v>
      </c>
      <c r="C15" s="17" t="s">
        <v>29</v>
      </c>
      <c r="D15" s="18">
        <v>7244</v>
      </c>
      <c r="E15" s="39">
        <v>177.47</v>
      </c>
      <c r="F15" s="40">
        <v>128.56</v>
      </c>
    </row>
    <row r="16" spans="1:6">
      <c r="A16" s="15" t="s">
        <v>30</v>
      </c>
      <c r="B16" s="69" t="s">
        <v>198</v>
      </c>
      <c r="C16" s="17" t="s">
        <v>29</v>
      </c>
      <c r="D16" s="18">
        <v>1851</v>
      </c>
      <c r="E16" s="39">
        <v>225.72</v>
      </c>
      <c r="F16" s="40">
        <v>41.78</v>
      </c>
    </row>
    <row r="17" spans="1:6">
      <c r="A17" s="15" t="s">
        <v>32</v>
      </c>
      <c r="B17" s="69" t="s">
        <v>199</v>
      </c>
      <c r="C17" s="17" t="s">
        <v>29</v>
      </c>
      <c r="D17" s="18">
        <v>1703</v>
      </c>
      <c r="E17" s="39">
        <v>283.72</v>
      </c>
      <c r="F17" s="40">
        <v>48.32</v>
      </c>
    </row>
    <row r="18" spans="1:6">
      <c r="A18" s="15" t="s">
        <v>34</v>
      </c>
      <c r="B18" s="69" t="s">
        <v>200</v>
      </c>
      <c r="C18" s="17" t="s">
        <v>29</v>
      </c>
      <c r="D18" s="18">
        <v>319</v>
      </c>
      <c r="E18" s="39">
        <v>443.76</v>
      </c>
      <c r="F18" s="40">
        <v>14.16</v>
      </c>
    </row>
    <row r="19" spans="1:6">
      <c r="A19" s="15" t="s">
        <v>36</v>
      </c>
      <c r="B19" s="69" t="s">
        <v>201</v>
      </c>
      <c r="C19" s="17" t="s">
        <v>29</v>
      </c>
      <c r="D19" s="18">
        <v>2341</v>
      </c>
      <c r="E19" s="39">
        <v>535.8</v>
      </c>
      <c r="F19" s="40">
        <v>125.43</v>
      </c>
    </row>
    <row r="20" spans="1:6">
      <c r="A20" s="15" t="s">
        <v>38</v>
      </c>
      <c r="B20" s="69" t="s">
        <v>202</v>
      </c>
      <c r="C20" s="17" t="s">
        <v>24</v>
      </c>
      <c r="D20" s="18">
        <v>1</v>
      </c>
      <c r="E20" s="71">
        <v>149190.5</v>
      </c>
      <c r="F20" s="40">
        <v>14.92</v>
      </c>
    </row>
    <row r="21" spans="1:6">
      <c r="A21" s="15" t="s">
        <v>40</v>
      </c>
      <c r="B21" s="69" t="s">
        <v>203</v>
      </c>
      <c r="C21" s="17" t="s">
        <v>204</v>
      </c>
      <c r="D21" s="18">
        <v>565</v>
      </c>
      <c r="E21" s="39">
        <v>1200</v>
      </c>
      <c r="F21" s="40">
        <v>67.8</v>
      </c>
    </row>
    <row r="22" spans="1:6">
      <c r="A22" s="15" t="s">
        <v>42</v>
      </c>
      <c r="B22" s="69" t="s">
        <v>205</v>
      </c>
      <c r="C22" s="17" t="s">
        <v>19</v>
      </c>
      <c r="D22" s="18">
        <v>49</v>
      </c>
      <c r="E22" s="39">
        <v>4158.05</v>
      </c>
      <c r="F22" s="40">
        <v>20.37</v>
      </c>
    </row>
    <row r="23" spans="1:6">
      <c r="A23" s="15" t="s">
        <v>44</v>
      </c>
      <c r="B23" s="69" t="s">
        <v>206</v>
      </c>
      <c r="C23" s="17" t="s">
        <v>204</v>
      </c>
      <c r="D23" s="18">
        <v>1</v>
      </c>
      <c r="E23" s="39">
        <v>9532.29</v>
      </c>
      <c r="F23" s="40">
        <v>0.95</v>
      </c>
    </row>
    <row r="24" spans="1:6">
      <c r="A24" s="15" t="s">
        <v>46</v>
      </c>
      <c r="B24" s="69" t="s">
        <v>207</v>
      </c>
      <c r="C24" s="17" t="s">
        <v>204</v>
      </c>
      <c r="D24" s="18">
        <v>1</v>
      </c>
      <c r="E24" s="39">
        <v>8058.5</v>
      </c>
      <c r="F24" s="40">
        <v>0.81</v>
      </c>
    </row>
    <row r="25" spans="1:6">
      <c r="A25" s="15" t="s">
        <v>48</v>
      </c>
      <c r="B25" s="69" t="s">
        <v>208</v>
      </c>
      <c r="C25" s="17" t="s">
        <v>204</v>
      </c>
      <c r="D25" s="18">
        <v>1</v>
      </c>
      <c r="E25" s="39">
        <v>4169.73</v>
      </c>
      <c r="F25" s="40">
        <v>0.42</v>
      </c>
    </row>
    <row r="26" spans="1:6">
      <c r="A26" s="44" t="s">
        <v>209</v>
      </c>
      <c r="B26" s="69" t="s">
        <v>210</v>
      </c>
      <c r="C26" s="17" t="s">
        <v>204</v>
      </c>
      <c r="D26" s="18">
        <v>46</v>
      </c>
      <c r="E26" s="39">
        <v>5534.49</v>
      </c>
      <c r="F26" s="40">
        <v>25.46</v>
      </c>
    </row>
    <row r="27" spans="1:6">
      <c r="A27" s="15">
        <v>3</v>
      </c>
      <c r="B27" s="69" t="s">
        <v>211</v>
      </c>
      <c r="C27" s="17"/>
      <c r="D27" s="18"/>
      <c r="E27" s="39"/>
      <c r="F27" s="40">
        <f>F28+F29</f>
        <v>459.56</v>
      </c>
    </row>
    <row r="28" spans="1:6">
      <c r="A28" s="15" t="s">
        <v>27</v>
      </c>
      <c r="B28" s="69" t="s">
        <v>212</v>
      </c>
      <c r="C28" s="17" t="s">
        <v>29</v>
      </c>
      <c r="D28" s="18">
        <v>12834</v>
      </c>
      <c r="E28" s="39">
        <v>341.61</v>
      </c>
      <c r="F28" s="40">
        <f t="shared" ref="F28:F32" si="0">E28*D28/10000</f>
        <v>438.42</v>
      </c>
    </row>
    <row r="29" spans="1:6">
      <c r="A29" s="15" t="s">
        <v>30</v>
      </c>
      <c r="B29" s="69" t="s">
        <v>213</v>
      </c>
      <c r="C29" s="17" t="s">
        <v>204</v>
      </c>
      <c r="D29" s="18">
        <v>57</v>
      </c>
      <c r="E29" s="39">
        <v>3709.59</v>
      </c>
      <c r="F29" s="40">
        <f t="shared" si="0"/>
        <v>21.14</v>
      </c>
    </row>
    <row r="30" spans="1:6">
      <c r="A30" s="12" t="s">
        <v>214</v>
      </c>
      <c r="B30" s="70" t="s">
        <v>215</v>
      </c>
      <c r="C30" s="9"/>
      <c r="D30" s="14"/>
      <c r="E30" s="38"/>
      <c r="F30" s="36">
        <f>F31+F32</f>
        <v>175.26</v>
      </c>
    </row>
    <row r="31" spans="1:6">
      <c r="A31" s="15">
        <v>1</v>
      </c>
      <c r="B31" s="69" t="s">
        <v>216</v>
      </c>
      <c r="C31" s="17" t="s">
        <v>217</v>
      </c>
      <c r="D31" s="18">
        <v>3405.07</v>
      </c>
      <c r="E31" s="39">
        <v>210.38</v>
      </c>
      <c r="F31" s="40">
        <f t="shared" si="0"/>
        <v>71.64</v>
      </c>
    </row>
    <row r="32" spans="1:6">
      <c r="A32" s="15">
        <v>2</v>
      </c>
      <c r="B32" s="69" t="s">
        <v>218</v>
      </c>
      <c r="C32" s="17" t="s">
        <v>217</v>
      </c>
      <c r="D32" s="18">
        <v>2404.61</v>
      </c>
      <c r="E32" s="39">
        <v>430.94</v>
      </c>
      <c r="F32" s="40">
        <f t="shared" si="0"/>
        <v>103.62</v>
      </c>
    </row>
    <row r="33" spans="1:6">
      <c r="A33" s="19"/>
      <c r="B33" s="45"/>
      <c r="C33" s="21"/>
      <c r="D33" s="22"/>
      <c r="E33" s="22"/>
      <c r="F33" s="40"/>
    </row>
    <row r="34" spans="1:6">
      <c r="A34" s="23" t="s">
        <v>82</v>
      </c>
      <c r="B34" s="46" t="s">
        <v>219</v>
      </c>
      <c r="C34" s="25"/>
      <c r="D34" s="26"/>
      <c r="E34" s="30"/>
      <c r="F34" s="41">
        <f>F35+F36++F37+F40+F41+F44</f>
        <v>106.43</v>
      </c>
    </row>
    <row r="35" spans="1:6">
      <c r="A35" s="21" t="s">
        <v>11</v>
      </c>
      <c r="B35" s="47" t="s">
        <v>220</v>
      </c>
      <c r="C35" s="28"/>
      <c r="D35" s="29"/>
      <c r="E35" s="30"/>
      <c r="F35" s="42">
        <v>7.06</v>
      </c>
    </row>
    <row r="36" spans="1:6">
      <c r="A36" s="21" t="s">
        <v>15</v>
      </c>
      <c r="B36" s="47" t="s">
        <v>221</v>
      </c>
      <c r="C36" s="28"/>
      <c r="D36" s="29"/>
      <c r="E36" s="30"/>
      <c r="F36" s="42">
        <v>2.83</v>
      </c>
    </row>
    <row r="37" spans="1:6">
      <c r="A37" s="21" t="s">
        <v>58</v>
      </c>
      <c r="B37" s="47" t="s">
        <v>222</v>
      </c>
      <c r="C37" s="28"/>
      <c r="D37" s="30"/>
      <c r="E37" s="30"/>
      <c r="F37" s="42">
        <v>36</v>
      </c>
    </row>
    <row r="38" spans="1:6">
      <c r="A38" s="21" t="s">
        <v>17</v>
      </c>
      <c r="B38" s="47" t="s">
        <v>223</v>
      </c>
      <c r="C38" s="28"/>
      <c r="D38" s="30"/>
      <c r="E38" s="30"/>
      <c r="F38" s="42">
        <v>26.09</v>
      </c>
    </row>
    <row r="39" spans="1:6">
      <c r="A39" s="21" t="s">
        <v>20</v>
      </c>
      <c r="B39" s="47" t="s">
        <v>224</v>
      </c>
      <c r="C39" s="28"/>
      <c r="D39" s="30"/>
      <c r="E39" s="30"/>
      <c r="F39" s="42">
        <v>9.91</v>
      </c>
    </row>
    <row r="40" spans="1:6">
      <c r="A40" s="21" t="s">
        <v>64</v>
      </c>
      <c r="B40" s="47" t="s">
        <v>225</v>
      </c>
      <c r="C40" s="28"/>
      <c r="D40" s="30"/>
      <c r="E40" s="30"/>
      <c r="F40" s="42">
        <v>10.4</v>
      </c>
    </row>
    <row r="41" spans="1:6">
      <c r="A41" s="21" t="s">
        <v>72</v>
      </c>
      <c r="B41" s="48" t="s">
        <v>97</v>
      </c>
      <c r="C41" s="28"/>
      <c r="D41" s="29"/>
      <c r="E41" s="30"/>
      <c r="F41" s="42">
        <f>F42+F43</f>
        <v>46.8</v>
      </c>
    </row>
    <row r="42" spans="1:6">
      <c r="A42" s="21" t="s">
        <v>17</v>
      </c>
      <c r="B42" s="47" t="s">
        <v>226</v>
      </c>
      <c r="C42" s="28"/>
      <c r="D42" s="30"/>
      <c r="E42" s="30"/>
      <c r="F42" s="42">
        <v>13.3</v>
      </c>
    </row>
    <row r="43" spans="1:6">
      <c r="A43" s="21" t="s">
        <v>20</v>
      </c>
      <c r="B43" s="47" t="s">
        <v>227</v>
      </c>
      <c r="C43" s="28"/>
      <c r="D43" s="30"/>
      <c r="E43" s="30"/>
      <c r="F43" s="42">
        <v>33.5</v>
      </c>
    </row>
    <row r="44" spans="1:6">
      <c r="A44" s="21" t="s">
        <v>77</v>
      </c>
      <c r="B44" s="47" t="s">
        <v>105</v>
      </c>
      <c r="C44" s="28"/>
      <c r="D44" s="30"/>
      <c r="E44" s="30"/>
      <c r="F44" s="42">
        <v>3.34</v>
      </c>
    </row>
    <row r="45" spans="1:6">
      <c r="A45" s="21"/>
      <c r="B45" s="47"/>
      <c r="C45" s="28"/>
      <c r="D45" s="30"/>
      <c r="E45" s="30"/>
      <c r="F45" s="42"/>
    </row>
    <row r="46" spans="1:6">
      <c r="A46" s="32" t="s">
        <v>85</v>
      </c>
      <c r="B46" s="50" t="s">
        <v>228</v>
      </c>
      <c r="C46" s="8" t="s">
        <v>14</v>
      </c>
      <c r="D46" s="9">
        <v>1185.6</v>
      </c>
      <c r="E46" s="35">
        <f>F46/D46*10000</f>
        <v>12812.08</v>
      </c>
      <c r="F46" s="38">
        <f>F4+F34</f>
        <v>1519</v>
      </c>
    </row>
  </sheetData>
  <mergeCells count="1">
    <mergeCell ref="A2:F2"/>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opLeftCell="A21" workbookViewId="0">
      <selection activeCell="E56" sqref="E56"/>
    </sheetView>
  </sheetViews>
  <sheetFormatPr defaultColWidth="9" defaultRowHeight="13.5" outlineLevelCol="5"/>
  <cols>
    <col min="1" max="1" width="8.24166666666667" customWidth="true"/>
    <col min="2" max="2" width="30.625" customWidth="true"/>
    <col min="3" max="3" width="8.625" customWidth="true"/>
    <col min="4" max="6" width="12.625" customWidth="true"/>
  </cols>
  <sheetData>
    <row r="1" ht="22" customHeight="true" spans="1:6">
      <c r="A1" s="1" t="s">
        <v>229</v>
      </c>
      <c r="B1" s="61"/>
      <c r="C1" s="3"/>
      <c r="D1" s="4"/>
      <c r="E1" s="3"/>
      <c r="F1" s="3"/>
    </row>
    <row r="2" ht="18.75" spans="1:6">
      <c r="A2" s="57" t="s">
        <v>230</v>
      </c>
      <c r="B2" s="57"/>
      <c r="C2" s="57"/>
      <c r="D2" s="57"/>
      <c r="E2" s="57"/>
      <c r="F2" s="57"/>
    </row>
    <row r="3" ht="15" spans="1:6">
      <c r="A3" s="62"/>
      <c r="B3" s="62"/>
      <c r="C3" s="62"/>
      <c r="D3" s="62"/>
      <c r="E3" s="62"/>
      <c r="F3" s="62"/>
    </row>
    <row r="4" ht="31.5" spans="1:6">
      <c r="A4" s="63" t="s">
        <v>1</v>
      </c>
      <c r="B4" s="63" t="s">
        <v>184</v>
      </c>
      <c r="C4" s="63" t="s">
        <v>4</v>
      </c>
      <c r="D4" s="63" t="s">
        <v>5</v>
      </c>
      <c r="E4" s="63" t="s">
        <v>6</v>
      </c>
      <c r="F4" s="67" t="s">
        <v>185</v>
      </c>
    </row>
    <row r="5" spans="1:6">
      <c r="A5" s="64" t="s">
        <v>9</v>
      </c>
      <c r="B5" s="64" t="s">
        <v>186</v>
      </c>
      <c r="C5" s="64" t="s">
        <v>14</v>
      </c>
      <c r="D5" s="64"/>
      <c r="E5" s="64"/>
      <c r="F5" s="64">
        <f>F6+F8+F36+F39</f>
        <v>547.96</v>
      </c>
    </row>
    <row r="6" spans="1:6">
      <c r="A6" s="26" t="s">
        <v>11</v>
      </c>
      <c r="B6" s="11" t="s">
        <v>13</v>
      </c>
      <c r="C6" s="11"/>
      <c r="D6" s="11"/>
      <c r="E6" s="37"/>
      <c r="F6" s="51">
        <f>F7</f>
        <v>1.5</v>
      </c>
    </row>
    <row r="7" spans="1:6">
      <c r="A7" s="15">
        <v>1</v>
      </c>
      <c r="B7" s="16" t="s">
        <v>13</v>
      </c>
      <c r="C7" s="17" t="s">
        <v>14</v>
      </c>
      <c r="D7" s="18">
        <v>30</v>
      </c>
      <c r="E7" s="39">
        <v>500</v>
      </c>
      <c r="F7" s="40">
        <f>E7*D7/10000</f>
        <v>1.5</v>
      </c>
    </row>
    <row r="8" spans="1:6">
      <c r="A8" s="12" t="s">
        <v>15</v>
      </c>
      <c r="B8" s="13" t="s">
        <v>231</v>
      </c>
      <c r="C8" s="9"/>
      <c r="D8" s="14"/>
      <c r="E8" s="38"/>
      <c r="F8" s="36">
        <f>SUM(F9,F13:F35)</f>
        <v>464.12</v>
      </c>
    </row>
    <row r="9" spans="1:6">
      <c r="A9" s="15">
        <v>1</v>
      </c>
      <c r="B9" s="16" t="s">
        <v>232</v>
      </c>
      <c r="C9" s="17" t="s">
        <v>19</v>
      </c>
      <c r="D9" s="18">
        <v>1</v>
      </c>
      <c r="E9" s="39"/>
      <c r="F9" s="40">
        <v>49.71</v>
      </c>
    </row>
    <row r="10" spans="1:6">
      <c r="A10" s="15" t="s">
        <v>100</v>
      </c>
      <c r="B10" s="16" t="s">
        <v>233</v>
      </c>
      <c r="C10" s="17" t="s">
        <v>19</v>
      </c>
      <c r="D10" s="18">
        <v>1</v>
      </c>
      <c r="E10" s="39">
        <v>291955.98</v>
      </c>
      <c r="F10" s="40">
        <v>29.2</v>
      </c>
    </row>
    <row r="11" spans="1:6">
      <c r="A11" s="15" t="s">
        <v>102</v>
      </c>
      <c r="B11" s="16" t="s">
        <v>234</v>
      </c>
      <c r="C11" s="17" t="s">
        <v>19</v>
      </c>
      <c r="D11" s="18">
        <v>1</v>
      </c>
      <c r="E11" s="39">
        <v>155159.77</v>
      </c>
      <c r="F11" s="40">
        <v>15.51</v>
      </c>
    </row>
    <row r="12" spans="1:6">
      <c r="A12" s="15" t="s">
        <v>235</v>
      </c>
      <c r="B12" s="16" t="s">
        <v>236</v>
      </c>
      <c r="C12" s="17" t="s">
        <v>29</v>
      </c>
      <c r="D12" s="18">
        <v>20</v>
      </c>
      <c r="E12" s="39">
        <v>2500</v>
      </c>
      <c r="F12" s="40">
        <v>5</v>
      </c>
    </row>
    <row r="13" spans="1:6">
      <c r="A13" s="15">
        <v>2</v>
      </c>
      <c r="B13" s="16" t="s">
        <v>237</v>
      </c>
      <c r="C13" s="17" t="s">
        <v>29</v>
      </c>
      <c r="D13" s="18">
        <v>870</v>
      </c>
      <c r="E13" s="39">
        <v>941.89</v>
      </c>
      <c r="F13" s="40">
        <v>81.94</v>
      </c>
    </row>
    <row r="14" spans="1:6">
      <c r="A14" s="15">
        <v>3</v>
      </c>
      <c r="B14" s="16" t="s">
        <v>238</v>
      </c>
      <c r="C14" s="17" t="s">
        <v>29</v>
      </c>
      <c r="D14" s="18">
        <v>280</v>
      </c>
      <c r="E14" s="39">
        <v>606.35</v>
      </c>
      <c r="F14" s="40">
        <v>16.98</v>
      </c>
    </row>
    <row r="15" spans="1:6">
      <c r="A15" s="15">
        <v>4</v>
      </c>
      <c r="B15" s="16" t="s">
        <v>239</v>
      </c>
      <c r="C15" s="17" t="s">
        <v>29</v>
      </c>
      <c r="D15" s="18">
        <v>1500</v>
      </c>
      <c r="E15" s="39">
        <v>405.62</v>
      </c>
      <c r="F15" s="40">
        <v>60.84</v>
      </c>
    </row>
    <row r="16" spans="1:6">
      <c r="A16" s="15">
        <v>5</v>
      </c>
      <c r="B16" s="16" t="s">
        <v>240</v>
      </c>
      <c r="C16" s="17" t="s">
        <v>29</v>
      </c>
      <c r="D16" s="18">
        <v>1520</v>
      </c>
      <c r="E16" s="39">
        <v>259.47</v>
      </c>
      <c r="F16" s="40">
        <v>39.44</v>
      </c>
    </row>
    <row r="17" spans="1:6">
      <c r="A17" s="15">
        <v>6</v>
      </c>
      <c r="B17" s="16" t="s">
        <v>241</v>
      </c>
      <c r="C17" s="17" t="s">
        <v>29</v>
      </c>
      <c r="D17" s="18">
        <v>1205</v>
      </c>
      <c r="E17" s="39">
        <v>168.43</v>
      </c>
      <c r="F17" s="40">
        <v>20.3</v>
      </c>
    </row>
    <row r="18" spans="1:6">
      <c r="A18" s="15">
        <v>7</v>
      </c>
      <c r="B18" s="16" t="s">
        <v>242</v>
      </c>
      <c r="C18" s="17" t="s">
        <v>29</v>
      </c>
      <c r="D18" s="18">
        <v>155</v>
      </c>
      <c r="E18" s="39">
        <v>87.48</v>
      </c>
      <c r="F18" s="40">
        <v>1.36</v>
      </c>
    </row>
    <row r="19" spans="1:6">
      <c r="A19" s="15">
        <v>8</v>
      </c>
      <c r="B19" s="16" t="s">
        <v>243</v>
      </c>
      <c r="C19" s="17" t="s">
        <v>24</v>
      </c>
      <c r="D19" s="18">
        <v>1</v>
      </c>
      <c r="E19" s="39"/>
      <c r="F19" s="40">
        <v>18.14</v>
      </c>
    </row>
    <row r="20" spans="1:6">
      <c r="A20" s="15">
        <v>9</v>
      </c>
      <c r="B20" s="16" t="s">
        <v>244</v>
      </c>
      <c r="C20" s="17" t="s">
        <v>29</v>
      </c>
      <c r="D20" s="18">
        <v>30</v>
      </c>
      <c r="E20" s="39">
        <v>3768.53</v>
      </c>
      <c r="F20" s="40">
        <v>11.3</v>
      </c>
    </row>
    <row r="21" spans="1:6">
      <c r="A21" s="15">
        <v>10</v>
      </c>
      <c r="B21" s="16" t="s">
        <v>245</v>
      </c>
      <c r="C21" s="17" t="s">
        <v>19</v>
      </c>
      <c r="D21" s="18">
        <v>2</v>
      </c>
      <c r="E21" s="39">
        <v>3487.01</v>
      </c>
      <c r="F21" s="40">
        <v>0.7</v>
      </c>
    </row>
    <row r="22" spans="1:6">
      <c r="A22" s="15">
        <v>11</v>
      </c>
      <c r="B22" s="16" t="s">
        <v>246</v>
      </c>
      <c r="C22" s="17" t="s">
        <v>29</v>
      </c>
      <c r="D22" s="18">
        <v>40</v>
      </c>
      <c r="E22" s="39">
        <v>2819.38</v>
      </c>
      <c r="F22" s="40">
        <v>11.28</v>
      </c>
    </row>
    <row r="23" spans="1:6">
      <c r="A23" s="15">
        <v>12</v>
      </c>
      <c r="B23" s="16" t="s">
        <v>247</v>
      </c>
      <c r="C23" s="17" t="s">
        <v>19</v>
      </c>
      <c r="D23" s="18">
        <v>2</v>
      </c>
      <c r="E23" s="39">
        <v>3364.62</v>
      </c>
      <c r="F23" s="40">
        <v>0.67</v>
      </c>
    </row>
    <row r="24" spans="1:6">
      <c r="A24" s="15">
        <v>13</v>
      </c>
      <c r="B24" s="16" t="s">
        <v>248</v>
      </c>
      <c r="C24" s="17" t="s">
        <v>19</v>
      </c>
      <c r="D24" s="18">
        <v>9</v>
      </c>
      <c r="E24" s="39">
        <v>6483.86</v>
      </c>
      <c r="F24" s="40">
        <v>5.83</v>
      </c>
    </row>
    <row r="25" spans="1:6">
      <c r="A25" s="15">
        <v>14</v>
      </c>
      <c r="B25" s="16" t="s">
        <v>249</v>
      </c>
      <c r="C25" s="17" t="s">
        <v>19</v>
      </c>
      <c r="D25" s="18">
        <v>6</v>
      </c>
      <c r="E25" s="39">
        <v>6099.2</v>
      </c>
      <c r="F25" s="40">
        <v>3.66</v>
      </c>
    </row>
    <row r="26" spans="1:6">
      <c r="A26" s="15">
        <v>15</v>
      </c>
      <c r="B26" s="16" t="s">
        <v>250</v>
      </c>
      <c r="C26" s="17" t="s">
        <v>19</v>
      </c>
      <c r="D26" s="18">
        <v>2</v>
      </c>
      <c r="E26" s="39">
        <v>5134.29</v>
      </c>
      <c r="F26" s="40">
        <v>1.03</v>
      </c>
    </row>
    <row r="27" spans="1:6">
      <c r="A27" s="15">
        <v>16</v>
      </c>
      <c r="B27" s="16" t="s">
        <v>251</v>
      </c>
      <c r="C27" s="17" t="s">
        <v>19</v>
      </c>
      <c r="D27" s="18">
        <v>2</v>
      </c>
      <c r="E27" s="39">
        <v>6241.1</v>
      </c>
      <c r="F27" s="40">
        <v>1.25</v>
      </c>
    </row>
    <row r="28" spans="1:6">
      <c r="A28" s="15">
        <v>17</v>
      </c>
      <c r="B28" s="16" t="s">
        <v>203</v>
      </c>
      <c r="C28" s="17" t="s">
        <v>204</v>
      </c>
      <c r="D28" s="18">
        <v>136</v>
      </c>
      <c r="E28" s="39">
        <v>1200</v>
      </c>
      <c r="F28" s="40">
        <v>16.32</v>
      </c>
    </row>
    <row r="29" spans="1:6">
      <c r="A29" s="15">
        <v>18</v>
      </c>
      <c r="B29" s="16" t="s">
        <v>213</v>
      </c>
      <c r="C29" s="17" t="s">
        <v>252</v>
      </c>
      <c r="D29" s="18">
        <v>272</v>
      </c>
      <c r="E29" s="39">
        <v>228.47</v>
      </c>
      <c r="F29" s="40">
        <v>6.21</v>
      </c>
    </row>
    <row r="30" spans="1:6">
      <c r="A30" s="15">
        <v>19</v>
      </c>
      <c r="B30" s="16" t="s">
        <v>253</v>
      </c>
      <c r="C30" s="17" t="s">
        <v>29</v>
      </c>
      <c r="D30" s="18">
        <v>1465</v>
      </c>
      <c r="E30" s="39">
        <v>314.86</v>
      </c>
      <c r="F30" s="40">
        <v>46.13</v>
      </c>
    </row>
    <row r="31" spans="1:6">
      <c r="A31" s="15">
        <v>20</v>
      </c>
      <c r="B31" s="16" t="s">
        <v>254</v>
      </c>
      <c r="C31" s="17" t="s">
        <v>29</v>
      </c>
      <c r="D31" s="18">
        <v>1980</v>
      </c>
      <c r="E31" s="39">
        <v>220.25</v>
      </c>
      <c r="F31" s="40">
        <v>43.61</v>
      </c>
    </row>
    <row r="32" spans="1:6">
      <c r="A32" s="15">
        <v>21</v>
      </c>
      <c r="B32" s="16" t="s">
        <v>255</v>
      </c>
      <c r="C32" s="17" t="s">
        <v>19</v>
      </c>
      <c r="D32" s="18">
        <v>20</v>
      </c>
      <c r="E32" s="39">
        <v>6538.21</v>
      </c>
      <c r="F32" s="40">
        <v>13.08</v>
      </c>
    </row>
    <row r="33" spans="1:6">
      <c r="A33" s="15">
        <v>22</v>
      </c>
      <c r="B33" s="16" t="s">
        <v>256</v>
      </c>
      <c r="C33" s="17" t="s">
        <v>19</v>
      </c>
      <c r="D33" s="18">
        <v>10</v>
      </c>
      <c r="E33" s="39">
        <v>1846.07</v>
      </c>
      <c r="F33" s="40">
        <v>1.85</v>
      </c>
    </row>
    <row r="34" spans="1:6">
      <c r="A34" s="15">
        <v>23</v>
      </c>
      <c r="B34" s="16" t="s">
        <v>257</v>
      </c>
      <c r="C34" s="17" t="s">
        <v>29</v>
      </c>
      <c r="D34" s="18">
        <v>210</v>
      </c>
      <c r="E34" s="39">
        <v>404.36</v>
      </c>
      <c r="F34" s="40">
        <v>8.49</v>
      </c>
    </row>
    <row r="35" spans="1:6">
      <c r="A35" s="15">
        <v>24</v>
      </c>
      <c r="B35" s="16" t="s">
        <v>258</v>
      </c>
      <c r="C35" s="17" t="s">
        <v>252</v>
      </c>
      <c r="D35" s="18">
        <v>10</v>
      </c>
      <c r="E35" s="39">
        <v>4000</v>
      </c>
      <c r="F35" s="40">
        <v>4</v>
      </c>
    </row>
    <row r="36" spans="1:6">
      <c r="A36" s="12" t="s">
        <v>58</v>
      </c>
      <c r="B36" s="13" t="s">
        <v>259</v>
      </c>
      <c r="C36" s="9"/>
      <c r="D36" s="14"/>
      <c r="E36" s="38"/>
      <c r="F36" s="36">
        <f>F37+F38</f>
        <v>78.14</v>
      </c>
    </row>
    <row r="37" spans="1:6">
      <c r="A37" s="15">
        <v>1</v>
      </c>
      <c r="B37" s="16" t="s">
        <v>260</v>
      </c>
      <c r="C37" s="17" t="s">
        <v>217</v>
      </c>
      <c r="D37" s="18">
        <v>3100</v>
      </c>
      <c r="E37" s="39">
        <v>247</v>
      </c>
      <c r="F37" s="40">
        <f t="shared" ref="F37:F41" si="0">E37*D37/10000</f>
        <v>76.57</v>
      </c>
    </row>
    <row r="38" spans="1:6">
      <c r="A38" s="15">
        <v>2</v>
      </c>
      <c r="B38" s="16" t="s">
        <v>261</v>
      </c>
      <c r="C38" s="17" t="s">
        <v>217</v>
      </c>
      <c r="D38" s="18">
        <v>36</v>
      </c>
      <c r="E38" s="39">
        <v>437.01</v>
      </c>
      <c r="F38" s="40">
        <f t="shared" si="0"/>
        <v>1.57</v>
      </c>
    </row>
    <row r="39" spans="1:6">
      <c r="A39" s="12" t="s">
        <v>64</v>
      </c>
      <c r="B39" s="13" t="s">
        <v>262</v>
      </c>
      <c r="C39" s="9"/>
      <c r="D39" s="14"/>
      <c r="E39" s="38"/>
      <c r="F39" s="36">
        <f>F40+F41</f>
        <v>4.2</v>
      </c>
    </row>
    <row r="40" spans="1:6">
      <c r="A40" s="15">
        <v>1</v>
      </c>
      <c r="B40" s="16" t="s">
        <v>263</v>
      </c>
      <c r="C40" s="17" t="s">
        <v>29</v>
      </c>
      <c r="D40" s="18">
        <v>200</v>
      </c>
      <c r="E40" s="39">
        <v>120</v>
      </c>
      <c r="F40" s="40">
        <f t="shared" si="0"/>
        <v>2.4</v>
      </c>
    </row>
    <row r="41" spans="1:6">
      <c r="A41" s="15">
        <v>2</v>
      </c>
      <c r="B41" s="16" t="s">
        <v>264</v>
      </c>
      <c r="C41" s="17" t="s">
        <v>265</v>
      </c>
      <c r="D41" s="18">
        <v>3</v>
      </c>
      <c r="E41" s="39">
        <v>6000</v>
      </c>
      <c r="F41" s="40">
        <f t="shared" si="0"/>
        <v>1.8</v>
      </c>
    </row>
    <row r="42" spans="1:6">
      <c r="A42" s="19"/>
      <c r="B42" s="20"/>
      <c r="C42" s="21"/>
      <c r="D42" s="22"/>
      <c r="E42" s="22"/>
      <c r="F42" s="40"/>
    </row>
    <row r="43" spans="1:6">
      <c r="A43" s="65" t="s">
        <v>82</v>
      </c>
      <c r="B43" s="59" t="s">
        <v>219</v>
      </c>
      <c r="C43" s="66"/>
      <c r="D43" s="64"/>
      <c r="E43" s="64"/>
      <c r="F43" s="64">
        <f>SUM(F44:F46,F49:F51)</f>
        <v>43.26</v>
      </c>
    </row>
    <row r="44" spans="1:6">
      <c r="A44" s="21" t="s">
        <v>11</v>
      </c>
      <c r="B44" s="27" t="s">
        <v>220</v>
      </c>
      <c r="C44" s="28"/>
      <c r="D44" s="29"/>
      <c r="E44" s="30"/>
      <c r="F44" s="42">
        <v>2.74</v>
      </c>
    </row>
    <row r="45" spans="1:6">
      <c r="A45" s="21" t="s">
        <v>15</v>
      </c>
      <c r="B45" s="27" t="s">
        <v>221</v>
      </c>
      <c r="C45" s="28"/>
      <c r="D45" s="29"/>
      <c r="E45" s="30"/>
      <c r="F45" s="42">
        <v>1.1</v>
      </c>
    </row>
    <row r="46" spans="1:6">
      <c r="A46" s="21" t="s">
        <v>58</v>
      </c>
      <c r="B46" s="27" t="s">
        <v>222</v>
      </c>
      <c r="C46" s="28"/>
      <c r="D46" s="30"/>
      <c r="E46" s="30"/>
      <c r="F46" s="42">
        <v>16.02</v>
      </c>
    </row>
    <row r="47" spans="1:6">
      <c r="A47" s="21" t="s">
        <v>17</v>
      </c>
      <c r="B47" s="27" t="s">
        <v>223</v>
      </c>
      <c r="C47" s="28"/>
      <c r="D47" s="30"/>
      <c r="E47" s="30"/>
      <c r="F47" s="42">
        <v>11.98</v>
      </c>
    </row>
    <row r="48" spans="1:6">
      <c r="A48" s="21" t="s">
        <v>20</v>
      </c>
      <c r="B48" s="27" t="s">
        <v>224</v>
      </c>
      <c r="C48" s="28"/>
      <c r="D48" s="30"/>
      <c r="E48" s="30"/>
      <c r="F48" s="42">
        <v>4.04</v>
      </c>
    </row>
    <row r="49" spans="1:6">
      <c r="A49" s="21" t="s">
        <v>64</v>
      </c>
      <c r="B49" s="27" t="s">
        <v>225</v>
      </c>
      <c r="C49" s="28"/>
      <c r="D49" s="30"/>
      <c r="E49" s="30"/>
      <c r="F49" s="42">
        <v>4.23</v>
      </c>
    </row>
    <row r="50" spans="1:6">
      <c r="A50" s="21" t="s">
        <v>72</v>
      </c>
      <c r="B50" s="31" t="s">
        <v>97</v>
      </c>
      <c r="C50" s="28"/>
      <c r="D50" s="29"/>
      <c r="E50" s="30"/>
      <c r="F50" s="42">
        <v>17.86</v>
      </c>
    </row>
    <row r="51" spans="1:6">
      <c r="A51" s="21" t="s">
        <v>77</v>
      </c>
      <c r="B51" s="27" t="s">
        <v>105</v>
      </c>
      <c r="C51" s="28"/>
      <c r="D51" s="30"/>
      <c r="E51" s="30"/>
      <c r="F51" s="42">
        <v>1.31</v>
      </c>
    </row>
    <row r="52" spans="1:6">
      <c r="A52" s="21"/>
      <c r="B52" s="27"/>
      <c r="C52" s="28"/>
      <c r="D52" s="30"/>
      <c r="E52" s="30"/>
      <c r="F52" s="42"/>
    </row>
    <row r="53" spans="1:6">
      <c r="A53" s="32" t="s">
        <v>85</v>
      </c>
      <c r="B53" s="33" t="s">
        <v>228</v>
      </c>
      <c r="C53" s="8" t="s">
        <v>14</v>
      </c>
      <c r="D53" s="9">
        <v>457.64</v>
      </c>
      <c r="E53" s="35">
        <f>F53/D53*10000</f>
        <v>12918.89</v>
      </c>
      <c r="F53" s="38">
        <f>F5+F43</f>
        <v>591.22</v>
      </c>
    </row>
    <row r="55" spans="3:3">
      <c r="C55" t="s">
        <v>266</v>
      </c>
    </row>
  </sheetData>
  <mergeCells count="2">
    <mergeCell ref="A2:F2"/>
    <mergeCell ref="A3:F3"/>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topLeftCell="A19" workbookViewId="0">
      <selection activeCell="F7" sqref="F7"/>
    </sheetView>
  </sheetViews>
  <sheetFormatPr defaultColWidth="9" defaultRowHeight="13.5" outlineLevelCol="5"/>
  <cols>
    <col min="1" max="1" width="9" customWidth="true"/>
    <col min="2" max="2" width="32.25" customWidth="true"/>
    <col min="3" max="3" width="8.625" customWidth="true"/>
    <col min="4" max="6" width="12.625" customWidth="true"/>
  </cols>
  <sheetData>
    <row r="1" ht="22" customHeight="true" spans="1:6">
      <c r="A1" s="53" t="s">
        <v>267</v>
      </c>
      <c r="B1" s="54"/>
      <c r="C1" s="55"/>
      <c r="D1" s="56"/>
      <c r="E1" s="55"/>
      <c r="F1" s="55"/>
    </row>
    <row r="2" ht="19.5" spans="1:6">
      <c r="A2" s="57" t="s">
        <v>268</v>
      </c>
      <c r="B2" s="57"/>
      <c r="C2" s="57"/>
      <c r="D2" s="57"/>
      <c r="E2" s="57"/>
      <c r="F2" s="57"/>
    </row>
    <row r="3" ht="32.25" spans="1:6">
      <c r="A3" s="58" t="s">
        <v>1</v>
      </c>
      <c r="B3" s="58" t="s">
        <v>184</v>
      </c>
      <c r="C3" s="58" t="s">
        <v>4</v>
      </c>
      <c r="D3" s="58" t="s">
        <v>5</v>
      </c>
      <c r="E3" s="58" t="s">
        <v>6</v>
      </c>
      <c r="F3" s="60" t="s">
        <v>185</v>
      </c>
    </row>
    <row r="4" spans="1:6">
      <c r="A4" s="59" t="s">
        <v>9</v>
      </c>
      <c r="B4" s="59" t="s">
        <v>186</v>
      </c>
      <c r="C4" s="59"/>
      <c r="D4" s="59"/>
      <c r="E4" s="59"/>
      <c r="F4" s="59">
        <f>F5+F6+F34+F36</f>
        <v>711.75</v>
      </c>
    </row>
    <row r="5" spans="1:6">
      <c r="A5" s="10" t="s">
        <v>187</v>
      </c>
      <c r="B5" s="11" t="s">
        <v>13</v>
      </c>
      <c r="C5" s="11" t="s">
        <v>14</v>
      </c>
      <c r="D5" s="11">
        <v>49.1</v>
      </c>
      <c r="E5" s="37">
        <v>500</v>
      </c>
      <c r="F5" s="36">
        <f>E5*D5/10000</f>
        <v>2.46</v>
      </c>
    </row>
    <row r="6" spans="1:6">
      <c r="A6" s="12" t="s">
        <v>188</v>
      </c>
      <c r="B6" s="13" t="s">
        <v>231</v>
      </c>
      <c r="C6" s="9"/>
      <c r="D6" s="14"/>
      <c r="E6" s="38"/>
      <c r="F6" s="36">
        <f>F7+F13+F28</f>
        <v>656.92</v>
      </c>
    </row>
    <row r="7" spans="1:6">
      <c r="A7" s="15">
        <v>1</v>
      </c>
      <c r="B7" s="16" t="s">
        <v>269</v>
      </c>
      <c r="C7" s="17"/>
      <c r="D7" s="18"/>
      <c r="E7" s="39"/>
      <c r="F7" s="40">
        <v>57.95</v>
      </c>
    </row>
    <row r="8" spans="1:6">
      <c r="A8" s="15" t="s">
        <v>27</v>
      </c>
      <c r="B8" s="16" t="s">
        <v>233</v>
      </c>
      <c r="C8" s="17" t="s">
        <v>19</v>
      </c>
      <c r="D8" s="18">
        <v>1</v>
      </c>
      <c r="E8" s="39">
        <v>289128.76</v>
      </c>
      <c r="F8" s="40">
        <v>28.91</v>
      </c>
    </row>
    <row r="9" spans="1:6">
      <c r="A9" s="15" t="s">
        <v>30</v>
      </c>
      <c r="B9" s="16" t="s">
        <v>270</v>
      </c>
      <c r="C9" s="17" t="s">
        <v>217</v>
      </c>
      <c r="D9" s="18">
        <v>39.95</v>
      </c>
      <c r="E9" s="39">
        <v>2850</v>
      </c>
      <c r="F9" s="40">
        <v>11.39</v>
      </c>
    </row>
    <row r="10" spans="1:6">
      <c r="A10" s="15" t="s">
        <v>32</v>
      </c>
      <c r="B10" s="16" t="s">
        <v>271</v>
      </c>
      <c r="C10" s="17"/>
      <c r="D10" s="18"/>
      <c r="E10" s="39"/>
      <c r="F10" s="40">
        <v>11.9</v>
      </c>
    </row>
    <row r="11" spans="1:6">
      <c r="A11" s="15" t="s">
        <v>34</v>
      </c>
      <c r="B11" s="16" t="s">
        <v>236</v>
      </c>
      <c r="C11" s="17" t="s">
        <v>29</v>
      </c>
      <c r="D11" s="18">
        <v>15</v>
      </c>
      <c r="E11" s="39">
        <v>2500</v>
      </c>
      <c r="F11" s="40">
        <v>3.75</v>
      </c>
    </row>
    <row r="12" spans="1:6">
      <c r="A12" s="15" t="s">
        <v>36</v>
      </c>
      <c r="B12" s="16" t="s">
        <v>272</v>
      </c>
      <c r="C12" s="17" t="s">
        <v>29</v>
      </c>
      <c r="D12" s="18">
        <v>40</v>
      </c>
      <c r="E12" s="39">
        <v>500</v>
      </c>
      <c r="F12" s="40">
        <v>2</v>
      </c>
    </row>
    <row r="13" spans="1:6">
      <c r="A13" s="15">
        <v>2</v>
      </c>
      <c r="B13" s="16" t="s">
        <v>273</v>
      </c>
      <c r="C13" s="17"/>
      <c r="D13" s="18"/>
      <c r="E13" s="39"/>
      <c r="F13" s="40">
        <f>SUM(F14:F18,F21:F27)</f>
        <v>415.62</v>
      </c>
    </row>
    <row r="14" spans="1:6">
      <c r="A14" s="15" t="s">
        <v>27</v>
      </c>
      <c r="B14" s="16" t="s">
        <v>274</v>
      </c>
      <c r="C14" s="17" t="s">
        <v>29</v>
      </c>
      <c r="D14" s="18">
        <v>460</v>
      </c>
      <c r="E14" s="39">
        <v>1224</v>
      </c>
      <c r="F14" s="39">
        <v>56.3</v>
      </c>
    </row>
    <row r="15" spans="1:6">
      <c r="A15" s="15" t="s">
        <v>30</v>
      </c>
      <c r="B15" s="16" t="s">
        <v>275</v>
      </c>
      <c r="C15" s="17" t="s">
        <v>29</v>
      </c>
      <c r="D15" s="18">
        <v>1145</v>
      </c>
      <c r="E15" s="39">
        <v>982.07</v>
      </c>
      <c r="F15" s="39">
        <v>112.45</v>
      </c>
    </row>
    <row r="16" spans="1:6">
      <c r="A16" s="15" t="s">
        <v>32</v>
      </c>
      <c r="B16" s="16" t="s">
        <v>276</v>
      </c>
      <c r="C16" s="17" t="s">
        <v>29</v>
      </c>
      <c r="D16" s="18">
        <v>3975</v>
      </c>
      <c r="E16" s="39">
        <v>357.93</v>
      </c>
      <c r="F16" s="39">
        <v>142.28</v>
      </c>
    </row>
    <row r="17" spans="1:6">
      <c r="A17" s="15" t="s">
        <v>34</v>
      </c>
      <c r="B17" s="16" t="s">
        <v>243</v>
      </c>
      <c r="C17" s="17"/>
      <c r="D17" s="18"/>
      <c r="E17" s="39"/>
      <c r="F17" s="40">
        <v>24.57</v>
      </c>
    </row>
    <row r="18" spans="1:6">
      <c r="A18" s="15" t="s">
        <v>36</v>
      </c>
      <c r="B18" s="16" t="s">
        <v>277</v>
      </c>
      <c r="C18" s="17"/>
      <c r="D18" s="18"/>
      <c r="E18" s="39"/>
      <c r="F18" s="40">
        <v>21.29</v>
      </c>
    </row>
    <row r="19" spans="1:6">
      <c r="A19" s="15" t="s">
        <v>278</v>
      </c>
      <c r="B19" s="16" t="s">
        <v>279</v>
      </c>
      <c r="C19" s="17" t="s">
        <v>204</v>
      </c>
      <c r="D19" s="18">
        <v>88</v>
      </c>
      <c r="E19" s="39">
        <v>816.99</v>
      </c>
      <c r="F19" s="40">
        <v>7.19</v>
      </c>
    </row>
    <row r="20" spans="1:6">
      <c r="A20" s="15" t="s">
        <v>280</v>
      </c>
      <c r="B20" s="16" t="s">
        <v>281</v>
      </c>
      <c r="C20" s="17" t="s">
        <v>204</v>
      </c>
      <c r="D20" s="18">
        <v>57</v>
      </c>
      <c r="E20" s="39">
        <v>2473.64</v>
      </c>
      <c r="F20" s="40">
        <v>14.1</v>
      </c>
    </row>
    <row r="21" spans="1:6">
      <c r="A21" s="15" t="s">
        <v>38</v>
      </c>
      <c r="B21" s="16" t="s">
        <v>282</v>
      </c>
      <c r="C21" s="17" t="s">
        <v>19</v>
      </c>
      <c r="D21" s="18">
        <v>5</v>
      </c>
      <c r="E21" s="39">
        <v>10200.01</v>
      </c>
      <c r="F21" s="40">
        <v>5.1</v>
      </c>
    </row>
    <row r="22" spans="1:6">
      <c r="A22" s="15" t="s">
        <v>40</v>
      </c>
      <c r="B22" s="16" t="s">
        <v>283</v>
      </c>
      <c r="C22" s="17" t="s">
        <v>19</v>
      </c>
      <c r="D22" s="18">
        <v>13</v>
      </c>
      <c r="E22" s="39">
        <v>4823.89</v>
      </c>
      <c r="F22" s="40">
        <v>6.27</v>
      </c>
    </row>
    <row r="23" spans="1:6">
      <c r="A23" s="15" t="s">
        <v>42</v>
      </c>
      <c r="B23" s="16" t="s">
        <v>284</v>
      </c>
      <c r="C23" s="17" t="s">
        <v>19</v>
      </c>
      <c r="D23" s="18">
        <v>3</v>
      </c>
      <c r="E23" s="39">
        <v>3295.9</v>
      </c>
      <c r="F23" s="40">
        <v>0.99</v>
      </c>
    </row>
    <row r="24" spans="1:6">
      <c r="A24" s="15" t="s">
        <v>44</v>
      </c>
      <c r="B24" s="16" t="s">
        <v>285</v>
      </c>
      <c r="C24" s="17" t="s">
        <v>19</v>
      </c>
      <c r="D24" s="18">
        <v>16</v>
      </c>
      <c r="E24" s="39">
        <f>E23</f>
        <v>3295.9</v>
      </c>
      <c r="F24" s="40">
        <v>5.27</v>
      </c>
    </row>
    <row r="25" spans="1:6">
      <c r="A25" s="15" t="s">
        <v>46</v>
      </c>
      <c r="B25" s="16" t="s">
        <v>286</v>
      </c>
      <c r="C25" s="17" t="s">
        <v>29</v>
      </c>
      <c r="D25" s="18">
        <v>40</v>
      </c>
      <c r="E25" s="39">
        <v>3300</v>
      </c>
      <c r="F25" s="40">
        <v>13.2</v>
      </c>
    </row>
    <row r="26" spans="1:6">
      <c r="A26" s="15" t="s">
        <v>46</v>
      </c>
      <c r="B26" s="16" t="s">
        <v>287</v>
      </c>
      <c r="C26" s="17" t="s">
        <v>29</v>
      </c>
      <c r="D26" s="18">
        <v>60</v>
      </c>
      <c r="E26" s="39">
        <v>4300</v>
      </c>
      <c r="F26" s="40">
        <v>25.8</v>
      </c>
    </row>
    <row r="27" spans="1:6">
      <c r="A27" s="15" t="s">
        <v>48</v>
      </c>
      <c r="B27" s="16" t="s">
        <v>288</v>
      </c>
      <c r="C27" s="17" t="s">
        <v>19</v>
      </c>
      <c r="D27" s="18">
        <v>6</v>
      </c>
      <c r="E27" s="39">
        <v>3500</v>
      </c>
      <c r="F27" s="40">
        <v>2.1</v>
      </c>
    </row>
    <row r="28" spans="1:6">
      <c r="A28" s="15">
        <v>3</v>
      </c>
      <c r="B28" s="16" t="s">
        <v>289</v>
      </c>
      <c r="C28" s="17"/>
      <c r="D28" s="18"/>
      <c r="E28" s="39"/>
      <c r="F28" s="40">
        <v>183.35</v>
      </c>
    </row>
    <row r="29" spans="1:6">
      <c r="A29" s="15" t="s">
        <v>27</v>
      </c>
      <c r="B29" s="16" t="s">
        <v>290</v>
      </c>
      <c r="C29" s="17" t="s">
        <v>29</v>
      </c>
      <c r="D29" s="18">
        <v>5655</v>
      </c>
      <c r="E29" s="39">
        <v>306.53</v>
      </c>
      <c r="F29" s="40">
        <v>173.34</v>
      </c>
    </row>
    <row r="30" spans="1:6">
      <c r="A30" s="15" t="s">
        <v>30</v>
      </c>
      <c r="B30" s="16" t="s">
        <v>291</v>
      </c>
      <c r="C30" s="17" t="s">
        <v>292</v>
      </c>
      <c r="D30" s="18">
        <v>37</v>
      </c>
      <c r="E30" s="39">
        <v>56.97</v>
      </c>
      <c r="F30" s="40">
        <v>0.21</v>
      </c>
    </row>
    <row r="31" spans="1:6">
      <c r="A31" s="15" t="s">
        <v>32</v>
      </c>
      <c r="B31" s="16" t="s">
        <v>213</v>
      </c>
      <c r="C31" s="17" t="s">
        <v>252</v>
      </c>
      <c r="D31" s="18">
        <v>202</v>
      </c>
      <c r="E31" s="39">
        <v>230</v>
      </c>
      <c r="F31" s="40">
        <v>4.65</v>
      </c>
    </row>
    <row r="32" spans="1:6">
      <c r="A32" s="15" t="s">
        <v>34</v>
      </c>
      <c r="B32" s="16" t="s">
        <v>293</v>
      </c>
      <c r="C32" s="17" t="s">
        <v>19</v>
      </c>
      <c r="D32" s="18">
        <v>1</v>
      </c>
      <c r="E32" s="39">
        <v>6615.57</v>
      </c>
      <c r="F32" s="40">
        <v>0.66</v>
      </c>
    </row>
    <row r="33" spans="1:6">
      <c r="A33" s="15" t="s">
        <v>36</v>
      </c>
      <c r="B33" s="16" t="s">
        <v>294</v>
      </c>
      <c r="C33" s="17" t="s">
        <v>19</v>
      </c>
      <c r="D33" s="18">
        <v>14</v>
      </c>
      <c r="E33" s="39">
        <v>3208.82</v>
      </c>
      <c r="F33" s="40">
        <v>4.49</v>
      </c>
    </row>
    <row r="34" spans="1:6">
      <c r="A34" s="12" t="s">
        <v>214</v>
      </c>
      <c r="B34" s="13" t="s">
        <v>259</v>
      </c>
      <c r="C34" s="9"/>
      <c r="D34" s="14"/>
      <c r="E34" s="38"/>
      <c r="F34" s="36">
        <f>F35</f>
        <v>47.03</v>
      </c>
    </row>
    <row r="35" spans="1:6">
      <c r="A35" s="15" t="s">
        <v>17</v>
      </c>
      <c r="B35" s="16" t="s">
        <v>295</v>
      </c>
      <c r="C35" s="17" t="s">
        <v>217</v>
      </c>
      <c r="D35" s="18">
        <v>1875</v>
      </c>
      <c r="E35" s="39">
        <v>250.84</v>
      </c>
      <c r="F35" s="40">
        <f t="shared" ref="F35:F38" si="0">E35*D35/10000</f>
        <v>47.03</v>
      </c>
    </row>
    <row r="36" spans="1:6">
      <c r="A36" s="12" t="s">
        <v>296</v>
      </c>
      <c r="B36" s="13" t="s">
        <v>297</v>
      </c>
      <c r="C36" s="9"/>
      <c r="D36" s="14"/>
      <c r="E36" s="38"/>
      <c r="F36" s="36">
        <f>F37+F38</f>
        <v>5.34</v>
      </c>
    </row>
    <row r="37" spans="1:6">
      <c r="A37" s="15">
        <v>1</v>
      </c>
      <c r="B37" s="16" t="s">
        <v>298</v>
      </c>
      <c r="C37" s="17" t="s">
        <v>299</v>
      </c>
      <c r="D37" s="18">
        <v>100</v>
      </c>
      <c r="E37" s="39">
        <v>234</v>
      </c>
      <c r="F37" s="40">
        <f t="shared" si="0"/>
        <v>2.34</v>
      </c>
    </row>
    <row r="38" spans="1:6">
      <c r="A38" s="15">
        <v>2</v>
      </c>
      <c r="B38" s="16" t="s">
        <v>264</v>
      </c>
      <c r="C38" s="17" t="s">
        <v>265</v>
      </c>
      <c r="D38" s="18">
        <v>5</v>
      </c>
      <c r="E38" s="39">
        <v>6000</v>
      </c>
      <c r="F38" s="40">
        <f t="shared" si="0"/>
        <v>3</v>
      </c>
    </row>
    <row r="39" spans="1:6">
      <c r="A39" s="19"/>
      <c r="B39" s="20"/>
      <c r="C39" s="21"/>
      <c r="D39" s="22"/>
      <c r="E39" s="22"/>
      <c r="F39" s="40"/>
    </row>
    <row r="40" spans="1:6">
      <c r="A40" s="59" t="s">
        <v>82</v>
      </c>
      <c r="B40" s="59" t="s">
        <v>219</v>
      </c>
      <c r="C40" s="59"/>
      <c r="D40" s="59"/>
      <c r="E40" s="59"/>
      <c r="F40" s="59">
        <f>F41+F42+F43+F46+F47+F50</f>
        <v>56.37</v>
      </c>
    </row>
    <row r="41" spans="1:6">
      <c r="A41" s="21" t="s">
        <v>11</v>
      </c>
      <c r="B41" s="27" t="s">
        <v>220</v>
      </c>
      <c r="C41" s="28"/>
      <c r="D41" s="29"/>
      <c r="E41" s="30"/>
      <c r="F41" s="42">
        <v>3</v>
      </c>
    </row>
    <row r="42" spans="1:6">
      <c r="A42" s="21" t="s">
        <v>15</v>
      </c>
      <c r="B42" s="27" t="s">
        <v>221</v>
      </c>
      <c r="C42" s="28"/>
      <c r="D42" s="29"/>
      <c r="E42" s="30"/>
      <c r="F42" s="42">
        <v>1</v>
      </c>
    </row>
    <row r="43" spans="1:6">
      <c r="A43" s="21" t="s">
        <v>58</v>
      </c>
      <c r="B43" s="27" t="s">
        <v>222</v>
      </c>
      <c r="C43" s="28"/>
      <c r="D43" s="30"/>
      <c r="E43" s="30"/>
      <c r="F43" s="42">
        <f>F44+F45</f>
        <v>19.35</v>
      </c>
    </row>
    <row r="44" spans="1:6">
      <c r="A44" s="21" t="s">
        <v>17</v>
      </c>
      <c r="B44" s="27" t="s">
        <v>223</v>
      </c>
      <c r="C44" s="28"/>
      <c r="D44" s="30"/>
      <c r="E44" s="30"/>
      <c r="F44" s="42">
        <v>13.73</v>
      </c>
    </row>
    <row r="45" spans="1:6">
      <c r="A45" s="21" t="s">
        <v>20</v>
      </c>
      <c r="B45" s="27" t="s">
        <v>224</v>
      </c>
      <c r="C45" s="28"/>
      <c r="D45" s="30"/>
      <c r="E45" s="30"/>
      <c r="F45" s="42">
        <v>5.62</v>
      </c>
    </row>
    <row r="46" spans="1:6">
      <c r="A46" s="21" t="s">
        <v>64</v>
      </c>
      <c r="B46" s="27" t="s">
        <v>225</v>
      </c>
      <c r="C46" s="28"/>
      <c r="D46" s="30"/>
      <c r="E46" s="30"/>
      <c r="F46" s="42">
        <v>5.86</v>
      </c>
    </row>
    <row r="47" spans="1:6">
      <c r="A47" s="21" t="s">
        <v>72</v>
      </c>
      <c r="B47" s="31" t="s">
        <v>97</v>
      </c>
      <c r="C47" s="28"/>
      <c r="D47" s="29"/>
      <c r="E47" s="30"/>
      <c r="F47" s="42">
        <f>F48+F49</f>
        <v>25.34</v>
      </c>
    </row>
    <row r="48" spans="1:6">
      <c r="A48" s="21" t="s">
        <v>17</v>
      </c>
      <c r="B48" s="27" t="s">
        <v>226</v>
      </c>
      <c r="C48" s="28"/>
      <c r="D48" s="30"/>
      <c r="E48" s="30"/>
      <c r="F48" s="42">
        <v>6.66</v>
      </c>
    </row>
    <row r="49" spans="1:6">
      <c r="A49" s="21" t="s">
        <v>20</v>
      </c>
      <c r="B49" s="27" t="s">
        <v>227</v>
      </c>
      <c r="C49" s="28"/>
      <c r="D49" s="30"/>
      <c r="E49" s="30"/>
      <c r="F49" s="42">
        <v>18.68</v>
      </c>
    </row>
    <row r="50" spans="1:6">
      <c r="A50" s="21" t="s">
        <v>77</v>
      </c>
      <c r="B50" s="27" t="s">
        <v>105</v>
      </c>
      <c r="C50" s="28"/>
      <c r="D50" s="30"/>
      <c r="E50" s="30"/>
      <c r="F50" s="42">
        <v>1.82</v>
      </c>
    </row>
    <row r="51" spans="1:6">
      <c r="A51" s="21"/>
      <c r="B51" s="27"/>
      <c r="C51" s="28"/>
      <c r="D51" s="30"/>
      <c r="E51" s="30"/>
      <c r="F51" s="42"/>
    </row>
    <row r="52" spans="1:6">
      <c r="A52" s="32" t="s">
        <v>85</v>
      </c>
      <c r="B52" s="33" t="s">
        <v>228</v>
      </c>
      <c r="C52" s="8" t="s">
        <v>14</v>
      </c>
      <c r="D52" s="9">
        <v>708.58</v>
      </c>
      <c r="E52" s="35">
        <f>F52/D52*10000</f>
        <v>10840.27</v>
      </c>
      <c r="F52" s="38">
        <f>F4+F40</f>
        <v>768.12</v>
      </c>
    </row>
  </sheetData>
  <mergeCells count="1">
    <mergeCell ref="A2:F2"/>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
  <sheetViews>
    <sheetView tabSelected="1" workbookViewId="0">
      <selection activeCell="H1" sqref="H1"/>
    </sheetView>
  </sheetViews>
  <sheetFormatPr defaultColWidth="9" defaultRowHeight="13.5" outlineLevelCol="5"/>
  <cols>
    <col min="1" max="1" width="9" customWidth="true"/>
    <col min="2" max="2" width="32.25" customWidth="true"/>
    <col min="3" max="3" width="8.625" customWidth="true"/>
    <col min="4" max="6" width="12.625" customWidth="true"/>
  </cols>
  <sheetData>
    <row r="1" ht="22" customHeight="true" spans="1:6">
      <c r="A1" s="53" t="s">
        <v>300</v>
      </c>
      <c r="B1" s="54"/>
      <c r="C1" s="55"/>
      <c r="D1" s="56"/>
      <c r="E1" s="55"/>
      <c r="F1" s="55"/>
    </row>
    <row r="2" ht="19.5" spans="1:6">
      <c r="A2" s="57" t="s">
        <v>301</v>
      </c>
      <c r="B2" s="57"/>
      <c r="C2" s="57"/>
      <c r="D2" s="57"/>
      <c r="E2" s="57"/>
      <c r="F2" s="57"/>
    </row>
    <row r="3" ht="32.25" spans="1:6">
      <c r="A3" s="58" t="s">
        <v>1</v>
      </c>
      <c r="B3" s="58" t="s">
        <v>184</v>
      </c>
      <c r="C3" s="58" t="s">
        <v>4</v>
      </c>
      <c r="D3" s="58" t="s">
        <v>5</v>
      </c>
      <c r="E3" s="58" t="s">
        <v>6</v>
      </c>
      <c r="F3" s="60" t="s">
        <v>185</v>
      </c>
    </row>
    <row r="4" spans="1:6">
      <c r="A4" s="59" t="s">
        <v>9</v>
      </c>
      <c r="B4" s="59" t="s">
        <v>186</v>
      </c>
      <c r="C4" s="8"/>
      <c r="D4" s="9"/>
      <c r="E4" s="35"/>
      <c r="F4" s="36">
        <f>F5+F7+F42+F47</f>
        <v>2239.11</v>
      </c>
    </row>
    <row r="5" spans="1:6">
      <c r="A5" s="10" t="s">
        <v>11</v>
      </c>
      <c r="B5" s="11" t="s">
        <v>302</v>
      </c>
      <c r="C5" s="11"/>
      <c r="D5" s="11"/>
      <c r="E5" s="14"/>
      <c r="F5" s="51">
        <f>F6</f>
        <v>34.5</v>
      </c>
    </row>
    <row r="6" spans="1:6">
      <c r="A6" s="15">
        <v>1</v>
      </c>
      <c r="B6" s="16" t="s">
        <v>303</v>
      </c>
      <c r="C6" s="17" t="s">
        <v>14</v>
      </c>
      <c r="D6" s="18">
        <v>1725</v>
      </c>
      <c r="E6" s="39">
        <v>200</v>
      </c>
      <c r="F6" s="40">
        <f>E6*D6/10000</f>
        <v>34.5</v>
      </c>
    </row>
    <row r="7" spans="1:6">
      <c r="A7" s="12" t="s">
        <v>15</v>
      </c>
      <c r="B7" s="13" t="s">
        <v>304</v>
      </c>
      <c r="C7" s="9"/>
      <c r="D7" s="14"/>
      <c r="E7" s="38"/>
      <c r="F7" s="36">
        <f>F8+F15+F36</f>
        <v>1749.49</v>
      </c>
    </row>
    <row r="8" spans="1:6">
      <c r="A8" s="15" t="s">
        <v>17</v>
      </c>
      <c r="B8" s="16" t="s">
        <v>305</v>
      </c>
      <c r="C8" s="17"/>
      <c r="D8" s="18"/>
      <c r="E8" s="39"/>
      <c r="F8" s="40">
        <v>296.1</v>
      </c>
    </row>
    <row r="9" spans="1:6">
      <c r="A9" s="15" t="s">
        <v>27</v>
      </c>
      <c r="B9" s="16" t="s">
        <v>306</v>
      </c>
      <c r="C9" s="17" t="s">
        <v>19</v>
      </c>
      <c r="D9" s="18">
        <v>4</v>
      </c>
      <c r="E9" s="39">
        <f>E10+E11</f>
        <v>406397.4</v>
      </c>
      <c r="F9" s="40">
        <v>162.56</v>
      </c>
    </row>
    <row r="10" spans="1:6">
      <c r="A10" s="15"/>
      <c r="B10" s="16" t="s">
        <v>233</v>
      </c>
      <c r="C10" s="17" t="s">
        <v>19</v>
      </c>
      <c r="D10" s="18">
        <v>4</v>
      </c>
      <c r="E10" s="39">
        <f>[4]灌溉泵站!$J$6+[4]灌溉泵站!$J$7</f>
        <v>287494.03</v>
      </c>
      <c r="F10" s="40">
        <v>115</v>
      </c>
    </row>
    <row r="11" spans="1:6">
      <c r="A11" s="15"/>
      <c r="B11" s="16" t="s">
        <v>271</v>
      </c>
      <c r="C11" s="17" t="s">
        <v>19</v>
      </c>
      <c r="D11" s="18">
        <v>4</v>
      </c>
      <c r="E11" s="39">
        <f>[3]灌溉泵站!$J$8+[3]灌溉泵站!$J$9</f>
        <v>118903.37</v>
      </c>
      <c r="F11" s="40">
        <v>47.56</v>
      </c>
    </row>
    <row r="12" spans="1:6">
      <c r="A12" s="15" t="s">
        <v>30</v>
      </c>
      <c r="B12" s="16" t="s">
        <v>307</v>
      </c>
      <c r="C12" s="17" t="s">
        <v>19</v>
      </c>
      <c r="D12" s="18">
        <v>3</v>
      </c>
      <c r="E12" s="39">
        <f>E13+E14</f>
        <v>445149.4</v>
      </c>
      <c r="F12" s="40">
        <v>133.54</v>
      </c>
    </row>
    <row r="13" spans="1:6">
      <c r="A13" s="15"/>
      <c r="B13" s="16" t="s">
        <v>233</v>
      </c>
      <c r="C13" s="17" t="s">
        <v>19</v>
      </c>
      <c r="D13" s="18">
        <v>3</v>
      </c>
      <c r="E13" s="39">
        <f>[4]灌溉泵站!$J$11+[4]灌溉泵站!$J$12</f>
        <v>287494.03</v>
      </c>
      <c r="F13" s="40">
        <v>86.24</v>
      </c>
    </row>
    <row r="14" spans="1:6">
      <c r="A14" s="15"/>
      <c r="B14" s="16" t="s">
        <v>271</v>
      </c>
      <c r="C14" s="17" t="s">
        <v>19</v>
      </c>
      <c r="D14" s="18">
        <v>3</v>
      </c>
      <c r="E14" s="39">
        <f>[3]灌溉泵站!$J$13+[3]灌溉泵站!$J$14</f>
        <v>157655.37</v>
      </c>
      <c r="F14" s="40">
        <v>47.3</v>
      </c>
    </row>
    <row r="15" spans="1:6">
      <c r="A15" s="15" t="s">
        <v>20</v>
      </c>
      <c r="B15" s="16" t="s">
        <v>26</v>
      </c>
      <c r="C15" s="17"/>
      <c r="D15" s="18"/>
      <c r="E15" s="39"/>
      <c r="F15" s="40">
        <v>1114.65</v>
      </c>
    </row>
    <row r="16" spans="1:6">
      <c r="A16" s="15" t="s">
        <v>27</v>
      </c>
      <c r="B16" s="16" t="s">
        <v>308</v>
      </c>
      <c r="C16" s="17" t="s">
        <v>29</v>
      </c>
      <c r="D16" s="18">
        <v>1699</v>
      </c>
      <c r="E16" s="39">
        <v>1079.95</v>
      </c>
      <c r="F16" s="40">
        <v>183.48</v>
      </c>
    </row>
    <row r="17" spans="1:6">
      <c r="A17" s="15" t="s">
        <v>30</v>
      </c>
      <c r="B17" s="16" t="s">
        <v>309</v>
      </c>
      <c r="C17" s="17" t="s">
        <v>29</v>
      </c>
      <c r="D17" s="18">
        <v>1825</v>
      </c>
      <c r="E17" s="39">
        <v>731.21</v>
      </c>
      <c r="F17" s="40">
        <v>133.45</v>
      </c>
    </row>
    <row r="18" spans="1:6">
      <c r="A18" s="15" t="s">
        <v>32</v>
      </c>
      <c r="B18" s="16" t="s">
        <v>310</v>
      </c>
      <c r="C18" s="17" t="s">
        <v>29</v>
      </c>
      <c r="D18" s="18">
        <v>5662</v>
      </c>
      <c r="E18" s="39">
        <v>516.23</v>
      </c>
      <c r="F18" s="40">
        <v>292.29</v>
      </c>
    </row>
    <row r="19" spans="1:6">
      <c r="A19" s="15" t="s">
        <v>34</v>
      </c>
      <c r="B19" s="16" t="s">
        <v>311</v>
      </c>
      <c r="C19" s="17" t="s">
        <v>29</v>
      </c>
      <c r="D19" s="18">
        <v>5666</v>
      </c>
      <c r="E19" s="39">
        <v>361.44</v>
      </c>
      <c r="F19" s="40">
        <v>204.79</v>
      </c>
    </row>
    <row r="20" spans="1:6">
      <c r="A20" s="15" t="s">
        <v>36</v>
      </c>
      <c r="B20" s="16" t="s">
        <v>312</v>
      </c>
      <c r="C20" s="17" t="s">
        <v>29</v>
      </c>
      <c r="D20" s="18">
        <v>2346</v>
      </c>
      <c r="E20" s="39">
        <v>177.63</v>
      </c>
      <c r="F20" s="40">
        <v>41.67</v>
      </c>
    </row>
    <row r="21" spans="1:6">
      <c r="A21" s="15" t="s">
        <v>38</v>
      </c>
      <c r="B21" s="16" t="s">
        <v>313</v>
      </c>
      <c r="C21" s="17" t="s">
        <v>29</v>
      </c>
      <c r="D21" s="18">
        <v>805</v>
      </c>
      <c r="E21" s="39">
        <v>90.13</v>
      </c>
      <c r="F21" s="40">
        <v>7.26</v>
      </c>
    </row>
    <row r="22" spans="1:6">
      <c r="A22" s="15" t="s">
        <v>38</v>
      </c>
      <c r="B22" s="16" t="s">
        <v>35</v>
      </c>
      <c r="C22" s="17" t="s">
        <v>24</v>
      </c>
      <c r="D22" s="18">
        <v>1</v>
      </c>
      <c r="E22" s="39">
        <v>567496</v>
      </c>
      <c r="F22" s="40">
        <v>56.75</v>
      </c>
    </row>
    <row r="23" spans="1:6">
      <c r="A23" s="15" t="s">
        <v>40</v>
      </c>
      <c r="B23" s="16" t="s">
        <v>314</v>
      </c>
      <c r="C23" s="17" t="s">
        <v>19</v>
      </c>
      <c r="D23" s="18">
        <v>5</v>
      </c>
      <c r="E23" s="39">
        <v>13084.33</v>
      </c>
      <c r="F23" s="40">
        <v>6.54</v>
      </c>
    </row>
    <row r="24" spans="1:6">
      <c r="A24" s="15" t="s">
        <v>42</v>
      </c>
      <c r="B24" s="16" t="s">
        <v>315</v>
      </c>
      <c r="C24" s="17" t="s">
        <v>19</v>
      </c>
      <c r="D24" s="18">
        <v>63</v>
      </c>
      <c r="E24" s="39">
        <v>7727.39</v>
      </c>
      <c r="F24" s="40">
        <v>48.68</v>
      </c>
    </row>
    <row r="25" spans="1:6">
      <c r="A25" s="15" t="s">
        <v>44</v>
      </c>
      <c r="B25" s="16" t="s">
        <v>203</v>
      </c>
      <c r="C25" s="17" t="s">
        <v>19</v>
      </c>
      <c r="D25" s="18">
        <v>349</v>
      </c>
      <c r="E25" s="39">
        <v>324.81</v>
      </c>
      <c r="F25" s="40">
        <v>11.34</v>
      </c>
    </row>
    <row r="26" spans="1:6">
      <c r="A26" s="15" t="s">
        <v>46</v>
      </c>
      <c r="B26" s="16" t="s">
        <v>316</v>
      </c>
      <c r="C26" s="17" t="s">
        <v>19</v>
      </c>
      <c r="D26" s="18">
        <v>11</v>
      </c>
      <c r="E26" s="39">
        <f>E24</f>
        <v>7727.39</v>
      </c>
      <c r="F26" s="40">
        <v>8.5</v>
      </c>
    </row>
    <row r="27" spans="1:6">
      <c r="A27" s="15" t="s">
        <v>48</v>
      </c>
      <c r="B27" s="16" t="s">
        <v>317</v>
      </c>
      <c r="C27" s="17" t="s">
        <v>29</v>
      </c>
      <c r="D27" s="18">
        <v>55</v>
      </c>
      <c r="E27" s="39">
        <v>2111</v>
      </c>
      <c r="F27" s="40">
        <v>11.61</v>
      </c>
    </row>
    <row r="28" spans="1:6">
      <c r="A28" s="15" t="s">
        <v>209</v>
      </c>
      <c r="B28" s="16" t="s">
        <v>318</v>
      </c>
      <c r="C28" s="17" t="s">
        <v>29</v>
      </c>
      <c r="D28" s="18">
        <v>40</v>
      </c>
      <c r="E28" s="39">
        <v>1472.4</v>
      </c>
      <c r="F28" s="40">
        <v>5.89</v>
      </c>
    </row>
    <row r="29" spans="1:6">
      <c r="A29" s="15" t="s">
        <v>319</v>
      </c>
      <c r="B29" s="16" t="s">
        <v>320</v>
      </c>
      <c r="C29" s="17" t="s">
        <v>29</v>
      </c>
      <c r="D29" s="18">
        <v>70</v>
      </c>
      <c r="E29" s="39">
        <v>1007.9</v>
      </c>
      <c r="F29" s="40">
        <v>7.05</v>
      </c>
    </row>
    <row r="30" spans="1:6">
      <c r="A30" s="15" t="s">
        <v>321</v>
      </c>
      <c r="B30" s="16" t="s">
        <v>322</v>
      </c>
      <c r="C30" s="17" t="s">
        <v>29</v>
      </c>
      <c r="D30" s="18">
        <v>55</v>
      </c>
      <c r="E30" s="39">
        <v>717.06</v>
      </c>
      <c r="F30" s="40">
        <v>3.94</v>
      </c>
    </row>
    <row r="31" spans="1:6">
      <c r="A31" s="15" t="s">
        <v>323</v>
      </c>
      <c r="B31" s="16" t="s">
        <v>324</v>
      </c>
      <c r="C31" s="17" t="s">
        <v>29</v>
      </c>
      <c r="D31" s="18">
        <v>100</v>
      </c>
      <c r="E31" s="39">
        <v>627.62</v>
      </c>
      <c r="F31" s="40">
        <v>6.28</v>
      </c>
    </row>
    <row r="32" spans="1:6">
      <c r="A32" s="15" t="s">
        <v>325</v>
      </c>
      <c r="B32" s="16" t="s">
        <v>326</v>
      </c>
      <c r="C32" s="17" t="s">
        <v>29</v>
      </c>
      <c r="D32" s="18">
        <v>240</v>
      </c>
      <c r="E32" s="39">
        <v>2784.07</v>
      </c>
      <c r="F32" s="40">
        <v>66.82</v>
      </c>
    </row>
    <row r="33" spans="1:6">
      <c r="A33" s="15" t="s">
        <v>327</v>
      </c>
      <c r="B33" s="16" t="s">
        <v>328</v>
      </c>
      <c r="C33" s="17" t="s">
        <v>29</v>
      </c>
      <c r="D33" s="18">
        <v>60</v>
      </c>
      <c r="E33" s="39">
        <v>1384.96</v>
      </c>
      <c r="F33" s="40">
        <v>8.31</v>
      </c>
    </row>
    <row r="34" spans="1:6">
      <c r="A34" s="15" t="s">
        <v>329</v>
      </c>
      <c r="B34" s="16" t="s">
        <v>330</v>
      </c>
      <c r="C34" s="17" t="s">
        <v>29</v>
      </c>
      <c r="D34" s="18">
        <v>30</v>
      </c>
      <c r="E34" s="39">
        <v>1087.42</v>
      </c>
      <c r="F34" s="40">
        <v>3.26</v>
      </c>
    </row>
    <row r="35" spans="1:6">
      <c r="A35" s="15" t="s">
        <v>331</v>
      </c>
      <c r="B35" s="16" t="s">
        <v>332</v>
      </c>
      <c r="C35" s="17" t="s">
        <v>19</v>
      </c>
      <c r="D35" s="18">
        <v>14</v>
      </c>
      <c r="E35" s="39">
        <v>4812.76</v>
      </c>
      <c r="F35" s="40">
        <v>6.74</v>
      </c>
    </row>
    <row r="36" spans="1:6">
      <c r="A36" s="15" t="s">
        <v>22</v>
      </c>
      <c r="B36" s="16" t="s">
        <v>51</v>
      </c>
      <c r="C36" s="17"/>
      <c r="D36" s="18"/>
      <c r="E36" s="39"/>
      <c r="F36" s="40">
        <v>338.74</v>
      </c>
    </row>
    <row r="37" spans="1:6">
      <c r="A37" s="15" t="s">
        <v>27</v>
      </c>
      <c r="B37" s="16" t="s">
        <v>212</v>
      </c>
      <c r="C37" s="17" t="s">
        <v>29</v>
      </c>
      <c r="D37" s="18">
        <v>9921</v>
      </c>
      <c r="E37" s="39">
        <v>268.48</v>
      </c>
      <c r="F37" s="40">
        <v>266.36</v>
      </c>
    </row>
    <row r="38" spans="1:6">
      <c r="A38" s="15" t="s">
        <v>30</v>
      </c>
      <c r="B38" s="16" t="s">
        <v>291</v>
      </c>
      <c r="C38" s="17" t="s">
        <v>292</v>
      </c>
      <c r="D38" s="18">
        <v>198</v>
      </c>
      <c r="E38" s="39">
        <v>338.89</v>
      </c>
      <c r="F38" s="40">
        <v>6.71</v>
      </c>
    </row>
    <row r="39" spans="1:6">
      <c r="A39" s="15" t="s">
        <v>32</v>
      </c>
      <c r="B39" s="16" t="s">
        <v>213</v>
      </c>
      <c r="C39" s="17" t="s">
        <v>19</v>
      </c>
      <c r="D39" s="18">
        <v>297</v>
      </c>
      <c r="E39" s="39">
        <v>766.19</v>
      </c>
      <c r="F39" s="40">
        <v>22.76</v>
      </c>
    </row>
    <row r="40" spans="1:6">
      <c r="A40" s="15" t="s">
        <v>34</v>
      </c>
      <c r="B40" s="16" t="s">
        <v>333</v>
      </c>
      <c r="C40" s="17" t="s">
        <v>19</v>
      </c>
      <c r="D40" s="18">
        <v>14</v>
      </c>
      <c r="E40" s="39">
        <v>11015.32</v>
      </c>
      <c r="F40" s="40">
        <v>15.42</v>
      </c>
    </row>
    <row r="41" spans="1:6">
      <c r="A41" s="15" t="s">
        <v>36</v>
      </c>
      <c r="B41" s="16" t="s">
        <v>294</v>
      </c>
      <c r="C41" s="17" t="s">
        <v>19</v>
      </c>
      <c r="D41" s="18">
        <v>38</v>
      </c>
      <c r="E41" s="39">
        <v>7236.33</v>
      </c>
      <c r="F41" s="40">
        <v>27.5</v>
      </c>
    </row>
    <row r="42" spans="1:6">
      <c r="A42" s="12" t="s">
        <v>58</v>
      </c>
      <c r="B42" s="13" t="s">
        <v>215</v>
      </c>
      <c r="C42" s="9"/>
      <c r="D42" s="14"/>
      <c r="E42" s="38"/>
      <c r="F42" s="36">
        <f>SUM(F43:F46)</f>
        <v>435.65</v>
      </c>
    </row>
    <row r="43" spans="1:6">
      <c r="A43" s="15" t="s">
        <v>17</v>
      </c>
      <c r="B43" s="16" t="s">
        <v>334</v>
      </c>
      <c r="C43" s="17" t="s">
        <v>217</v>
      </c>
      <c r="D43" s="18">
        <v>5391</v>
      </c>
      <c r="E43" s="39">
        <v>250.66</v>
      </c>
      <c r="F43" s="40">
        <f t="shared" ref="F43:F46" si="0">E43*D43/10000</f>
        <v>135.13</v>
      </c>
    </row>
    <row r="44" spans="1:6">
      <c r="A44" s="15" t="s">
        <v>20</v>
      </c>
      <c r="B44" s="16" t="s">
        <v>335</v>
      </c>
      <c r="C44" s="17" t="s">
        <v>217</v>
      </c>
      <c r="D44" s="18">
        <v>8514</v>
      </c>
      <c r="E44" s="39">
        <v>262.55</v>
      </c>
      <c r="F44" s="40">
        <f t="shared" si="0"/>
        <v>223.54</v>
      </c>
    </row>
    <row r="45" spans="1:6">
      <c r="A45" s="15" t="s">
        <v>22</v>
      </c>
      <c r="B45" s="16" t="s">
        <v>336</v>
      </c>
      <c r="C45" s="17" t="s">
        <v>217</v>
      </c>
      <c r="D45" s="18">
        <v>1126.4</v>
      </c>
      <c r="E45" s="39">
        <v>454.11</v>
      </c>
      <c r="F45" s="40">
        <f t="shared" si="0"/>
        <v>51.15</v>
      </c>
    </row>
    <row r="46" spans="1:6">
      <c r="A46" s="15" t="s">
        <v>25</v>
      </c>
      <c r="B46" s="16" t="s">
        <v>337</v>
      </c>
      <c r="C46" s="17" t="s">
        <v>217</v>
      </c>
      <c r="D46" s="18">
        <v>526.5</v>
      </c>
      <c r="E46" s="39">
        <v>490.59</v>
      </c>
      <c r="F46" s="40">
        <f t="shared" si="0"/>
        <v>25.83</v>
      </c>
    </row>
    <row r="47" spans="1:6">
      <c r="A47" s="12" t="s">
        <v>64</v>
      </c>
      <c r="B47" s="13" t="s">
        <v>338</v>
      </c>
      <c r="C47" s="9"/>
      <c r="D47" s="14"/>
      <c r="E47" s="38"/>
      <c r="F47" s="36">
        <f>F48+F49+F50</f>
        <v>19.47</v>
      </c>
    </row>
    <row r="48" spans="1:6">
      <c r="A48" s="15" t="s">
        <v>17</v>
      </c>
      <c r="B48" s="16" t="s">
        <v>298</v>
      </c>
      <c r="C48" s="17" t="s">
        <v>29</v>
      </c>
      <c r="D48" s="18">
        <v>330</v>
      </c>
      <c r="E48" s="39">
        <v>234</v>
      </c>
      <c r="F48" s="40">
        <f t="shared" ref="F48:F50" si="1">E48*D48/10000</f>
        <v>7.72</v>
      </c>
    </row>
    <row r="49" spans="1:6">
      <c r="A49" s="15" t="s">
        <v>20</v>
      </c>
      <c r="B49" s="16" t="s">
        <v>339</v>
      </c>
      <c r="C49" s="17" t="s">
        <v>29</v>
      </c>
      <c r="D49" s="18">
        <v>7</v>
      </c>
      <c r="E49" s="39">
        <v>6500</v>
      </c>
      <c r="F49" s="40">
        <f t="shared" si="1"/>
        <v>4.55</v>
      </c>
    </row>
    <row r="50" spans="1:6">
      <c r="A50" s="15" t="s">
        <v>22</v>
      </c>
      <c r="B50" s="16" t="s">
        <v>340</v>
      </c>
      <c r="C50" s="17" t="s">
        <v>265</v>
      </c>
      <c r="D50" s="18">
        <v>12</v>
      </c>
      <c r="E50" s="39">
        <v>6000</v>
      </c>
      <c r="F50" s="40">
        <f t="shared" si="1"/>
        <v>7.2</v>
      </c>
    </row>
    <row r="51" spans="1:6">
      <c r="A51" s="59" t="s">
        <v>82</v>
      </c>
      <c r="B51" s="59" t="s">
        <v>219</v>
      </c>
      <c r="C51" s="25"/>
      <c r="D51" s="26"/>
      <c r="E51" s="30"/>
      <c r="F51" s="41">
        <f>SUM(F52:F54,F57:F58,F61)</f>
        <v>141.81</v>
      </c>
    </row>
    <row r="52" spans="1:6">
      <c r="A52" s="21" t="s">
        <v>11</v>
      </c>
      <c r="B52" s="27" t="s">
        <v>220</v>
      </c>
      <c r="C52" s="28"/>
      <c r="D52" s="29"/>
      <c r="E52" s="30"/>
      <c r="F52" s="42">
        <v>11.2</v>
      </c>
    </row>
    <row r="53" spans="1:6">
      <c r="A53" s="21" t="s">
        <v>15</v>
      </c>
      <c r="B53" s="27" t="s">
        <v>221</v>
      </c>
      <c r="C53" s="28"/>
      <c r="D53" s="29"/>
      <c r="E53" s="30"/>
      <c r="F53" s="42">
        <v>4.48</v>
      </c>
    </row>
    <row r="54" spans="1:6">
      <c r="A54" s="21" t="s">
        <v>58</v>
      </c>
      <c r="B54" s="27" t="s">
        <v>222</v>
      </c>
      <c r="C54" s="28"/>
      <c r="D54" s="30"/>
      <c r="E54" s="30"/>
      <c r="F54" s="42">
        <f>F56+F55</f>
        <v>45.86</v>
      </c>
    </row>
    <row r="55" spans="1:6">
      <c r="A55" s="21" t="s">
        <v>17</v>
      </c>
      <c r="B55" s="27" t="s">
        <v>223</v>
      </c>
      <c r="C55" s="28"/>
      <c r="D55" s="30"/>
      <c r="E55" s="30"/>
      <c r="F55" s="42">
        <v>33.62</v>
      </c>
    </row>
    <row r="56" spans="1:6">
      <c r="A56" s="21" t="s">
        <v>20</v>
      </c>
      <c r="B56" s="27" t="s">
        <v>224</v>
      </c>
      <c r="C56" s="28"/>
      <c r="D56" s="30"/>
      <c r="E56" s="30"/>
      <c r="F56" s="42">
        <v>12.24</v>
      </c>
    </row>
    <row r="57" spans="1:6">
      <c r="A57" s="21" t="s">
        <v>64</v>
      </c>
      <c r="B57" s="27" t="s">
        <v>225</v>
      </c>
      <c r="C57" s="28"/>
      <c r="D57" s="30"/>
      <c r="E57" s="30"/>
      <c r="F57" s="42">
        <v>12.98</v>
      </c>
    </row>
    <row r="58" spans="1:6">
      <c r="A58" s="21" t="s">
        <v>72</v>
      </c>
      <c r="B58" s="31" t="s">
        <v>97</v>
      </c>
      <c r="C58" s="28"/>
      <c r="D58" s="29"/>
      <c r="E58" s="30"/>
      <c r="F58" s="42">
        <f>F59+F60</f>
        <v>62.16</v>
      </c>
    </row>
    <row r="59" spans="1:6">
      <c r="A59" s="21" t="s">
        <v>17</v>
      </c>
      <c r="B59" s="27" t="s">
        <v>226</v>
      </c>
      <c r="C59" s="28"/>
      <c r="D59" s="30"/>
      <c r="E59" s="30"/>
      <c r="F59" s="42">
        <v>18.39</v>
      </c>
    </row>
    <row r="60" spans="1:6">
      <c r="A60" s="21" t="s">
        <v>20</v>
      </c>
      <c r="B60" s="27" t="s">
        <v>227</v>
      </c>
      <c r="C60" s="28"/>
      <c r="D60" s="30"/>
      <c r="E60" s="30"/>
      <c r="F60" s="42">
        <v>43.77</v>
      </c>
    </row>
    <row r="61" spans="1:6">
      <c r="A61" s="21" t="s">
        <v>77</v>
      </c>
      <c r="B61" s="27" t="s">
        <v>105</v>
      </c>
      <c r="C61" s="28"/>
      <c r="D61" s="30"/>
      <c r="E61" s="30"/>
      <c r="F61" s="42">
        <v>5.13</v>
      </c>
    </row>
    <row r="62" spans="1:6">
      <c r="A62" s="32" t="s">
        <v>85</v>
      </c>
      <c r="B62" s="33" t="s">
        <v>228</v>
      </c>
      <c r="C62" s="8" t="s">
        <v>14</v>
      </c>
      <c r="D62" s="9">
        <v>2368.83</v>
      </c>
      <c r="E62" s="35">
        <v>10051.04</v>
      </c>
      <c r="F62" s="38">
        <f>F4+F51</f>
        <v>2380.92</v>
      </c>
    </row>
  </sheetData>
  <mergeCells count="1">
    <mergeCell ref="A2:F2"/>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topLeftCell="A25" workbookViewId="0">
      <selection activeCell="D18" sqref="D18"/>
    </sheetView>
  </sheetViews>
  <sheetFormatPr defaultColWidth="9" defaultRowHeight="13.5" outlineLevelCol="5"/>
  <cols>
    <col min="1" max="1" width="7.375" customWidth="true"/>
    <col min="2" max="2" width="32.25" customWidth="true"/>
    <col min="3" max="3" width="8.625" customWidth="true"/>
    <col min="4" max="6" width="12.625" customWidth="true"/>
  </cols>
  <sheetData>
    <row r="1" ht="14.25" spans="1:6">
      <c r="A1" s="1" t="s">
        <v>341</v>
      </c>
      <c r="B1" s="2"/>
      <c r="C1" s="3"/>
      <c r="D1" s="4"/>
      <c r="E1" s="3"/>
      <c r="F1" s="3"/>
    </row>
    <row r="2" ht="18.75" spans="1:6">
      <c r="A2" s="5" t="s">
        <v>342</v>
      </c>
      <c r="B2" s="5"/>
      <c r="C2" s="5"/>
      <c r="D2" s="5"/>
      <c r="E2" s="5"/>
      <c r="F2" s="5"/>
    </row>
    <row r="3" ht="31.5" spans="1:6">
      <c r="A3" s="6" t="s">
        <v>1</v>
      </c>
      <c r="B3" s="6" t="s">
        <v>184</v>
      </c>
      <c r="C3" s="6" t="s">
        <v>4</v>
      </c>
      <c r="D3" s="6" t="s">
        <v>5</v>
      </c>
      <c r="E3" s="6" t="s">
        <v>6</v>
      </c>
      <c r="F3" s="34" t="s">
        <v>185</v>
      </c>
    </row>
    <row r="4" spans="1:6">
      <c r="A4" s="7" t="s">
        <v>9</v>
      </c>
      <c r="B4" s="43" t="s">
        <v>186</v>
      </c>
      <c r="C4" s="8"/>
      <c r="D4" s="9"/>
      <c r="E4" s="35"/>
      <c r="F4" s="36">
        <f>F5+F7+F36+F39</f>
        <v>2199.09</v>
      </c>
    </row>
    <row r="5" spans="1:6">
      <c r="A5" s="10" t="s">
        <v>187</v>
      </c>
      <c r="B5" s="11" t="s">
        <v>13</v>
      </c>
      <c r="C5" s="11"/>
      <c r="D5" s="11"/>
      <c r="E5" s="37"/>
      <c r="F5" s="51">
        <f>F6</f>
        <v>15.15</v>
      </c>
    </row>
    <row r="6" spans="1:6">
      <c r="A6" s="15">
        <v>1</v>
      </c>
      <c r="B6" s="16" t="s">
        <v>343</v>
      </c>
      <c r="C6" s="17" t="s">
        <v>14</v>
      </c>
      <c r="D6" s="18">
        <v>303</v>
      </c>
      <c r="E6" s="39">
        <v>500</v>
      </c>
      <c r="F6" s="40">
        <f t="shared" ref="F6:F17" si="0">E6*D6/10000</f>
        <v>15.15</v>
      </c>
    </row>
    <row r="7" spans="1:6">
      <c r="A7" s="12" t="s">
        <v>188</v>
      </c>
      <c r="B7" s="13" t="s">
        <v>189</v>
      </c>
      <c r="C7" s="9"/>
      <c r="D7" s="14"/>
      <c r="E7" s="38"/>
      <c r="F7" s="36">
        <f>F8+F18+F31</f>
        <v>1448.12</v>
      </c>
    </row>
    <row r="8" spans="1:6">
      <c r="A8" s="15">
        <v>1</v>
      </c>
      <c r="B8" s="16" t="s">
        <v>344</v>
      </c>
      <c r="C8" s="17" t="s">
        <v>19</v>
      </c>
      <c r="D8" s="18">
        <v>7</v>
      </c>
      <c r="E8" s="39"/>
      <c r="F8" s="40">
        <f>SUM(F9:F17)</f>
        <v>282.53</v>
      </c>
    </row>
    <row r="9" spans="1:6">
      <c r="A9" s="15" t="s">
        <v>27</v>
      </c>
      <c r="B9" s="16" t="s">
        <v>233</v>
      </c>
      <c r="C9" s="17" t="s">
        <v>217</v>
      </c>
      <c r="D9" s="18">
        <v>172.2</v>
      </c>
      <c r="E9" s="52">
        <v>146876.34</v>
      </c>
      <c r="F9" s="40">
        <f>E9*D8/10000</f>
        <v>102.81</v>
      </c>
    </row>
    <row r="10" spans="1:6">
      <c r="A10" s="15" t="s">
        <v>30</v>
      </c>
      <c r="B10" s="16" t="s">
        <v>345</v>
      </c>
      <c r="C10" s="17" t="s">
        <v>19</v>
      </c>
      <c r="D10" s="18">
        <v>1</v>
      </c>
      <c r="E10" s="39">
        <v>228998</v>
      </c>
      <c r="F10" s="40">
        <f t="shared" si="0"/>
        <v>22.9</v>
      </c>
    </row>
    <row r="11" spans="1:6">
      <c r="A11" s="15" t="s">
        <v>32</v>
      </c>
      <c r="B11" s="16" t="s">
        <v>346</v>
      </c>
      <c r="C11" s="17" t="s">
        <v>19</v>
      </c>
      <c r="D11" s="18">
        <v>1</v>
      </c>
      <c r="E11" s="39">
        <v>216255</v>
      </c>
      <c r="F11" s="40">
        <f t="shared" si="0"/>
        <v>21.63</v>
      </c>
    </row>
    <row r="12" spans="1:6">
      <c r="A12" s="15" t="s">
        <v>34</v>
      </c>
      <c r="B12" s="16" t="s">
        <v>347</v>
      </c>
      <c r="C12" s="17" t="s">
        <v>19</v>
      </c>
      <c r="D12" s="18">
        <v>1</v>
      </c>
      <c r="E12" s="39">
        <v>215110</v>
      </c>
      <c r="F12" s="40">
        <f t="shared" si="0"/>
        <v>21.51</v>
      </c>
    </row>
    <row r="13" spans="1:6">
      <c r="A13" s="15" t="s">
        <v>36</v>
      </c>
      <c r="B13" s="16" t="s">
        <v>348</v>
      </c>
      <c r="C13" s="17" t="s">
        <v>19</v>
      </c>
      <c r="D13" s="18">
        <v>1</v>
      </c>
      <c r="E13" s="39">
        <v>215110</v>
      </c>
      <c r="F13" s="40">
        <f t="shared" si="0"/>
        <v>21.51</v>
      </c>
    </row>
    <row r="14" spans="1:6">
      <c r="A14" s="15" t="s">
        <v>38</v>
      </c>
      <c r="B14" s="16" t="s">
        <v>349</v>
      </c>
      <c r="C14" s="17" t="s">
        <v>19</v>
      </c>
      <c r="D14" s="18">
        <v>1</v>
      </c>
      <c r="E14" s="39">
        <v>228998</v>
      </c>
      <c r="F14" s="40">
        <f t="shared" si="0"/>
        <v>22.9</v>
      </c>
    </row>
    <row r="15" spans="1:6">
      <c r="A15" s="15" t="s">
        <v>40</v>
      </c>
      <c r="B15" s="16" t="s">
        <v>350</v>
      </c>
      <c r="C15" s="17" t="s">
        <v>19</v>
      </c>
      <c r="D15" s="18">
        <v>1</v>
      </c>
      <c r="E15" s="39">
        <v>215110</v>
      </c>
      <c r="F15" s="40">
        <f t="shared" si="0"/>
        <v>21.51</v>
      </c>
    </row>
    <row r="16" spans="1:6">
      <c r="A16" s="15" t="s">
        <v>42</v>
      </c>
      <c r="B16" s="16" t="s">
        <v>351</v>
      </c>
      <c r="C16" s="17" t="s">
        <v>19</v>
      </c>
      <c r="D16" s="18">
        <v>1</v>
      </c>
      <c r="E16" s="39">
        <v>215110</v>
      </c>
      <c r="F16" s="40">
        <f t="shared" si="0"/>
        <v>21.51</v>
      </c>
    </row>
    <row r="17" spans="1:6">
      <c r="A17" s="15" t="s">
        <v>44</v>
      </c>
      <c r="B17" s="16" t="s">
        <v>236</v>
      </c>
      <c r="C17" s="17" t="s">
        <v>29</v>
      </c>
      <c r="D17" s="18">
        <v>105</v>
      </c>
      <c r="E17" s="39">
        <v>2500</v>
      </c>
      <c r="F17" s="40">
        <f t="shared" si="0"/>
        <v>26.25</v>
      </c>
    </row>
    <row r="18" spans="1:6">
      <c r="A18" s="15">
        <v>2</v>
      </c>
      <c r="B18" s="16" t="s">
        <v>26</v>
      </c>
      <c r="C18" s="17"/>
      <c r="D18" s="18"/>
      <c r="E18" s="39"/>
      <c r="F18" s="40">
        <f>SUM(F19:F30)</f>
        <v>680.1</v>
      </c>
    </row>
    <row r="19" spans="1:6">
      <c r="A19" s="15" t="s">
        <v>27</v>
      </c>
      <c r="B19" s="16" t="s">
        <v>352</v>
      </c>
      <c r="C19" s="17" t="s">
        <v>29</v>
      </c>
      <c r="D19" s="18">
        <v>5667</v>
      </c>
      <c r="E19" s="39">
        <v>135.57</v>
      </c>
      <c r="F19" s="40">
        <v>76.83</v>
      </c>
    </row>
    <row r="20" spans="1:6">
      <c r="A20" s="15" t="s">
        <v>30</v>
      </c>
      <c r="B20" s="16" t="s">
        <v>353</v>
      </c>
      <c r="C20" s="17" t="s">
        <v>29</v>
      </c>
      <c r="D20" s="18">
        <v>1172</v>
      </c>
      <c r="E20" s="39">
        <v>177.47</v>
      </c>
      <c r="F20" s="40">
        <v>20.8</v>
      </c>
    </row>
    <row r="21" spans="1:6">
      <c r="A21" s="15" t="s">
        <v>32</v>
      </c>
      <c r="B21" s="16" t="s">
        <v>354</v>
      </c>
      <c r="C21" s="17" t="s">
        <v>29</v>
      </c>
      <c r="D21" s="18">
        <v>4981</v>
      </c>
      <c r="E21" s="39">
        <v>225.72</v>
      </c>
      <c r="F21" s="40">
        <v>112.43</v>
      </c>
    </row>
    <row r="22" spans="1:6">
      <c r="A22" s="15" t="s">
        <v>34</v>
      </c>
      <c r="B22" s="16" t="s">
        <v>355</v>
      </c>
      <c r="C22" s="17" t="s">
        <v>29</v>
      </c>
      <c r="D22" s="18">
        <v>1595</v>
      </c>
      <c r="E22" s="39">
        <v>283.72</v>
      </c>
      <c r="F22" s="40">
        <v>45.25</v>
      </c>
    </row>
    <row r="23" spans="1:6">
      <c r="A23" s="15" t="s">
        <v>36</v>
      </c>
      <c r="B23" s="16" t="s">
        <v>356</v>
      </c>
      <c r="C23" s="17" t="s">
        <v>29</v>
      </c>
      <c r="D23" s="18">
        <v>2223</v>
      </c>
      <c r="E23" s="39">
        <v>443.76</v>
      </c>
      <c r="F23" s="40">
        <v>98.65</v>
      </c>
    </row>
    <row r="24" spans="1:6">
      <c r="A24" s="15" t="s">
        <v>38</v>
      </c>
      <c r="B24" s="16" t="s">
        <v>357</v>
      </c>
      <c r="C24" s="17" t="s">
        <v>29</v>
      </c>
      <c r="D24" s="18">
        <v>2362</v>
      </c>
      <c r="E24" s="39">
        <v>535.8</v>
      </c>
      <c r="F24" s="40">
        <v>126.56</v>
      </c>
    </row>
    <row r="25" spans="1:6">
      <c r="A25" s="15" t="s">
        <v>40</v>
      </c>
      <c r="B25" s="16" t="s">
        <v>358</v>
      </c>
      <c r="C25" s="17" t="s">
        <v>29</v>
      </c>
      <c r="D25" s="18">
        <v>583</v>
      </c>
      <c r="E25" s="39">
        <v>749.22</v>
      </c>
      <c r="F25" s="40">
        <v>43.68</v>
      </c>
    </row>
    <row r="26" spans="1:6">
      <c r="A26" s="15" t="s">
        <v>42</v>
      </c>
      <c r="B26" s="16" t="s">
        <v>202</v>
      </c>
      <c r="C26" s="17" t="s">
        <v>24</v>
      </c>
      <c r="D26" s="18">
        <v>1</v>
      </c>
      <c r="E26" s="39">
        <v>229500.7</v>
      </c>
      <c r="F26" s="40">
        <v>22.95</v>
      </c>
    </row>
    <row r="27" spans="1:6">
      <c r="A27" s="15" t="s">
        <v>44</v>
      </c>
      <c r="B27" s="16" t="s">
        <v>203</v>
      </c>
      <c r="C27" s="17" t="s">
        <v>204</v>
      </c>
      <c r="D27" s="18">
        <v>805</v>
      </c>
      <c r="E27" s="39">
        <v>1200</v>
      </c>
      <c r="F27" s="40">
        <v>96.6</v>
      </c>
    </row>
    <row r="28" spans="1:6">
      <c r="A28" s="15" t="s">
        <v>46</v>
      </c>
      <c r="B28" s="16" t="s">
        <v>359</v>
      </c>
      <c r="C28" s="17" t="s">
        <v>19</v>
      </c>
      <c r="D28" s="18">
        <v>68</v>
      </c>
      <c r="E28" s="39">
        <v>4158.05</v>
      </c>
      <c r="F28" s="40">
        <v>28.27</v>
      </c>
    </row>
    <row r="29" spans="1:6">
      <c r="A29" s="15" t="s">
        <v>48</v>
      </c>
      <c r="B29" s="16" t="s">
        <v>360</v>
      </c>
      <c r="C29" s="17" t="s">
        <v>19</v>
      </c>
      <c r="D29" s="18">
        <v>4</v>
      </c>
      <c r="E29" s="39">
        <v>10934.26</v>
      </c>
      <c r="F29" s="40">
        <v>4.37</v>
      </c>
    </row>
    <row r="30" spans="1:6">
      <c r="A30" s="44" t="s">
        <v>209</v>
      </c>
      <c r="B30" s="16" t="s">
        <v>361</v>
      </c>
      <c r="C30" s="17" t="s">
        <v>19</v>
      </c>
      <c r="D30" s="18">
        <v>4</v>
      </c>
      <c r="E30" s="39">
        <v>9268</v>
      </c>
      <c r="F30" s="40">
        <v>3.71</v>
      </c>
    </row>
    <row r="31" spans="1:6">
      <c r="A31" s="15">
        <v>3</v>
      </c>
      <c r="B31" s="16" t="s">
        <v>362</v>
      </c>
      <c r="C31" s="17"/>
      <c r="D31" s="18"/>
      <c r="E31" s="39"/>
      <c r="F31" s="40">
        <f>SUM(F32:F35)</f>
        <v>485.49</v>
      </c>
    </row>
    <row r="32" spans="1:6">
      <c r="A32" s="15" t="s">
        <v>27</v>
      </c>
      <c r="B32" s="16" t="s">
        <v>363</v>
      </c>
      <c r="C32" s="17" t="s">
        <v>29</v>
      </c>
      <c r="D32" s="18">
        <v>689</v>
      </c>
      <c r="E32" s="39">
        <v>203.92</v>
      </c>
      <c r="F32" s="40">
        <f t="shared" ref="F32:F35" si="1">E32*D32/10000</f>
        <v>14.05</v>
      </c>
    </row>
    <row r="33" spans="1:6">
      <c r="A33" s="15" t="s">
        <v>30</v>
      </c>
      <c r="B33" s="16" t="s">
        <v>364</v>
      </c>
      <c r="C33" s="17" t="s">
        <v>29</v>
      </c>
      <c r="D33" s="18">
        <v>13942</v>
      </c>
      <c r="E33" s="39">
        <v>320</v>
      </c>
      <c r="F33" s="39">
        <v>446.14</v>
      </c>
    </row>
    <row r="34" spans="1:6">
      <c r="A34" s="15" t="s">
        <v>32</v>
      </c>
      <c r="B34" s="16" t="s">
        <v>294</v>
      </c>
      <c r="C34" s="17" t="s">
        <v>204</v>
      </c>
      <c r="D34" s="18">
        <v>72</v>
      </c>
      <c r="E34" s="39">
        <v>2819.7</v>
      </c>
      <c r="F34" s="40">
        <f t="shared" si="1"/>
        <v>20.3</v>
      </c>
    </row>
    <row r="35" spans="1:6">
      <c r="A35" s="15" t="s">
        <v>34</v>
      </c>
      <c r="B35" s="16" t="s">
        <v>365</v>
      </c>
      <c r="C35" s="17" t="s">
        <v>19</v>
      </c>
      <c r="D35" s="18">
        <v>10</v>
      </c>
      <c r="E35" s="39">
        <v>5000</v>
      </c>
      <c r="F35" s="40">
        <f t="shared" si="1"/>
        <v>5</v>
      </c>
    </row>
    <row r="36" spans="1:6">
      <c r="A36" s="12" t="s">
        <v>214</v>
      </c>
      <c r="B36" s="13" t="s">
        <v>215</v>
      </c>
      <c r="C36" s="9"/>
      <c r="D36" s="14"/>
      <c r="E36" s="38"/>
      <c r="F36" s="36">
        <f>F37+F38</f>
        <v>512.91</v>
      </c>
    </row>
    <row r="37" spans="1:6">
      <c r="A37" s="15">
        <v>1</v>
      </c>
      <c r="B37" s="16" t="s">
        <v>216</v>
      </c>
      <c r="C37" s="17" t="s">
        <v>217</v>
      </c>
      <c r="D37" s="18">
        <v>9338.88</v>
      </c>
      <c r="E37" s="39">
        <v>231.72</v>
      </c>
      <c r="F37" s="40">
        <f>E37*D37/10000</f>
        <v>216.4</v>
      </c>
    </row>
    <row r="38" spans="1:6">
      <c r="A38" s="15">
        <v>2</v>
      </c>
      <c r="B38" s="16" t="s">
        <v>218</v>
      </c>
      <c r="C38" s="17" t="s">
        <v>217</v>
      </c>
      <c r="D38" s="18">
        <v>8313.41</v>
      </c>
      <c r="E38" s="39">
        <v>356.67</v>
      </c>
      <c r="F38" s="40">
        <f>E38*D38/10000</f>
        <v>296.51</v>
      </c>
    </row>
    <row r="39" spans="1:6">
      <c r="A39" s="12" t="s">
        <v>296</v>
      </c>
      <c r="B39" s="13" t="s">
        <v>366</v>
      </c>
      <c r="C39" s="9"/>
      <c r="D39" s="14"/>
      <c r="E39" s="38"/>
      <c r="F39" s="36">
        <f>SUM(F40:F42)</f>
        <v>222.91</v>
      </c>
    </row>
    <row r="40" spans="1:6">
      <c r="A40" s="15">
        <v>1</v>
      </c>
      <c r="B40" s="16" t="s">
        <v>367</v>
      </c>
      <c r="C40" s="17" t="s">
        <v>217</v>
      </c>
      <c r="D40" s="18">
        <v>517.08</v>
      </c>
      <c r="E40" s="39">
        <v>2500</v>
      </c>
      <c r="F40" s="40">
        <f>E40*D40/10000</f>
        <v>129.27</v>
      </c>
    </row>
    <row r="41" spans="1:6">
      <c r="A41" s="15">
        <v>2</v>
      </c>
      <c r="B41" s="16" t="s">
        <v>368</v>
      </c>
      <c r="C41" s="17" t="s">
        <v>217</v>
      </c>
      <c r="D41" s="18">
        <v>301.71</v>
      </c>
      <c r="E41" s="39">
        <v>264</v>
      </c>
      <c r="F41" s="40">
        <f>E41*D41/10000</f>
        <v>7.97</v>
      </c>
    </row>
    <row r="42" spans="1:6">
      <c r="A42" s="15">
        <v>3</v>
      </c>
      <c r="B42" s="16" t="s">
        <v>369</v>
      </c>
      <c r="C42" s="17" t="s">
        <v>24</v>
      </c>
      <c r="D42" s="18">
        <v>1</v>
      </c>
      <c r="E42" s="39">
        <v>856700</v>
      </c>
      <c r="F42" s="40">
        <v>85.67</v>
      </c>
    </row>
    <row r="43" spans="1:6">
      <c r="A43" s="19"/>
      <c r="B43" s="45"/>
      <c r="C43" s="21"/>
      <c r="D43" s="22"/>
      <c r="E43" s="22"/>
      <c r="F43" s="40"/>
    </row>
    <row r="44" spans="1:6">
      <c r="A44" s="23" t="s">
        <v>82</v>
      </c>
      <c r="B44" s="46" t="s">
        <v>219</v>
      </c>
      <c r="C44" s="25"/>
      <c r="D44" s="26"/>
      <c r="E44" s="30"/>
      <c r="F44" s="41">
        <f>SUM(F45:F47,F50:F51,F54)</f>
        <v>141.11</v>
      </c>
    </row>
    <row r="45" spans="1:6">
      <c r="A45" s="21" t="s">
        <v>11</v>
      </c>
      <c r="B45" s="47" t="s">
        <v>220</v>
      </c>
      <c r="C45" s="28"/>
      <c r="D45" s="29"/>
      <c r="E45" s="30"/>
      <c r="F45" s="42">
        <v>11.25</v>
      </c>
    </row>
    <row r="46" spans="1:6">
      <c r="A46" s="21" t="s">
        <v>15</v>
      </c>
      <c r="B46" s="47" t="s">
        <v>221</v>
      </c>
      <c r="C46" s="28"/>
      <c r="D46" s="29"/>
      <c r="E46" s="30"/>
      <c r="F46" s="42">
        <v>4.5</v>
      </c>
    </row>
    <row r="47" spans="1:6">
      <c r="A47" s="21" t="s">
        <v>58</v>
      </c>
      <c r="B47" s="47" t="s">
        <v>222</v>
      </c>
      <c r="C47" s="28"/>
      <c r="D47" s="30"/>
      <c r="E47" s="30"/>
      <c r="F47" s="42">
        <f>F48+F49</f>
        <v>43.11</v>
      </c>
    </row>
    <row r="48" spans="1:6">
      <c r="A48" s="21" t="s">
        <v>17</v>
      </c>
      <c r="B48" s="47" t="s">
        <v>223</v>
      </c>
      <c r="C48" s="28"/>
      <c r="D48" s="30"/>
      <c r="E48" s="30"/>
      <c r="F48" s="42">
        <v>30.83</v>
      </c>
    </row>
    <row r="49" spans="1:6">
      <c r="A49" s="21" t="s">
        <v>20</v>
      </c>
      <c r="B49" s="47" t="s">
        <v>224</v>
      </c>
      <c r="C49" s="28"/>
      <c r="D49" s="30"/>
      <c r="E49" s="30"/>
      <c r="F49" s="42">
        <v>12.28</v>
      </c>
    </row>
    <row r="50" spans="1:6">
      <c r="A50" s="21" t="s">
        <v>64</v>
      </c>
      <c r="B50" s="47" t="s">
        <v>225</v>
      </c>
      <c r="C50" s="28"/>
      <c r="D50" s="30"/>
      <c r="E50" s="30"/>
      <c r="F50" s="42">
        <v>16.06</v>
      </c>
    </row>
    <row r="51" spans="1:6">
      <c r="A51" s="21" t="s">
        <v>72</v>
      </c>
      <c r="B51" s="48" t="s">
        <v>97</v>
      </c>
      <c r="C51" s="28"/>
      <c r="D51" s="29"/>
      <c r="E51" s="30"/>
      <c r="F51" s="42">
        <f>F52+F53</f>
        <v>61.04</v>
      </c>
    </row>
    <row r="52" spans="1:6">
      <c r="A52" s="21" t="s">
        <v>17</v>
      </c>
      <c r="B52" s="47" t="s">
        <v>226</v>
      </c>
      <c r="C52" s="28"/>
      <c r="D52" s="30"/>
      <c r="E52" s="30"/>
      <c r="F52" s="42">
        <v>16.51</v>
      </c>
    </row>
    <row r="53" spans="1:6">
      <c r="A53" s="21" t="s">
        <v>20</v>
      </c>
      <c r="B53" s="47" t="s">
        <v>227</v>
      </c>
      <c r="C53" s="28"/>
      <c r="D53" s="30"/>
      <c r="E53" s="30"/>
      <c r="F53" s="42">
        <v>44.53</v>
      </c>
    </row>
    <row r="54" spans="1:6">
      <c r="A54" s="21" t="s">
        <v>77</v>
      </c>
      <c r="B54" s="49" t="s">
        <v>105</v>
      </c>
      <c r="C54" s="28"/>
      <c r="D54" s="30"/>
      <c r="E54" s="30"/>
      <c r="F54" s="42">
        <v>5.15</v>
      </c>
    </row>
    <row r="55" spans="1:6">
      <c r="A55" s="21"/>
      <c r="B55" s="49"/>
      <c r="C55" s="28"/>
      <c r="D55" s="30"/>
      <c r="E55" s="30"/>
      <c r="F55" s="42"/>
    </row>
    <row r="56" spans="1:6">
      <c r="A56" s="32" t="s">
        <v>85</v>
      </c>
      <c r="B56" s="50" t="s">
        <v>228</v>
      </c>
      <c r="C56" s="8" t="s">
        <v>14</v>
      </c>
      <c r="D56" s="9">
        <v>1728.81</v>
      </c>
      <c r="E56" s="35">
        <f>F56/D56*10000</f>
        <v>13536.48</v>
      </c>
      <c r="F56" s="38">
        <f>F4+F44</f>
        <v>2340.2</v>
      </c>
    </row>
  </sheetData>
  <mergeCells count="1">
    <mergeCell ref="A2:F2"/>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topLeftCell="A35" workbookViewId="0">
      <selection activeCell="D13" sqref="D13"/>
    </sheetView>
  </sheetViews>
  <sheetFormatPr defaultColWidth="9" defaultRowHeight="13.5" outlineLevelCol="5"/>
  <cols>
    <col min="1" max="1" width="9" customWidth="true"/>
    <col min="2" max="2" width="32.25" customWidth="true"/>
    <col min="3" max="3" width="8.625" customWidth="true"/>
    <col min="4" max="6" width="12.625" customWidth="true"/>
  </cols>
  <sheetData>
    <row r="1" ht="14.25" spans="1:6">
      <c r="A1" s="1" t="s">
        <v>370</v>
      </c>
      <c r="B1" s="2"/>
      <c r="C1" s="3"/>
      <c r="D1" s="4"/>
      <c r="E1" s="3"/>
      <c r="F1" s="3"/>
    </row>
    <row r="2" ht="18.75" spans="1:6">
      <c r="A2" s="5" t="s">
        <v>371</v>
      </c>
      <c r="B2" s="5"/>
      <c r="C2" s="5"/>
      <c r="D2" s="5"/>
      <c r="E2" s="5"/>
      <c r="F2" s="5"/>
    </row>
    <row r="3" ht="31.5" spans="1:6">
      <c r="A3" s="6" t="s">
        <v>1</v>
      </c>
      <c r="B3" s="6" t="s">
        <v>184</v>
      </c>
      <c r="C3" s="6" t="s">
        <v>4</v>
      </c>
      <c r="D3" s="6" t="s">
        <v>5</v>
      </c>
      <c r="E3" s="6" t="s">
        <v>6</v>
      </c>
      <c r="F3" s="34" t="s">
        <v>185</v>
      </c>
    </row>
    <row r="4" spans="1:6">
      <c r="A4" s="7" t="s">
        <v>9</v>
      </c>
      <c r="B4" s="7" t="s">
        <v>186</v>
      </c>
      <c r="C4" s="8"/>
      <c r="D4" s="9"/>
      <c r="E4" s="35"/>
      <c r="F4" s="36">
        <f>F5+F6+F38+F45</f>
        <v>797.6</v>
      </c>
    </row>
    <row r="5" spans="1:6">
      <c r="A5" s="10" t="s">
        <v>187</v>
      </c>
      <c r="B5" s="11" t="s">
        <v>13</v>
      </c>
      <c r="C5" s="11" t="s">
        <v>14</v>
      </c>
      <c r="D5" s="11">
        <v>326</v>
      </c>
      <c r="E5" s="37">
        <v>500</v>
      </c>
      <c r="F5" s="36">
        <f>E5*D5/10000</f>
        <v>16.3</v>
      </c>
    </row>
    <row r="6" spans="1:6">
      <c r="A6" s="12" t="s">
        <v>188</v>
      </c>
      <c r="B6" s="13" t="s">
        <v>231</v>
      </c>
      <c r="C6" s="9"/>
      <c r="D6" s="14"/>
      <c r="E6" s="38"/>
      <c r="F6" s="36">
        <f>F7+F13+F16+F18+F32</f>
        <v>670.87</v>
      </c>
    </row>
    <row r="7" spans="1:6">
      <c r="A7" s="15">
        <v>1</v>
      </c>
      <c r="B7" s="16" t="s">
        <v>372</v>
      </c>
      <c r="C7" s="17"/>
      <c r="D7" s="18"/>
      <c r="E7" s="39"/>
      <c r="F7" s="40">
        <v>41.07</v>
      </c>
    </row>
    <row r="8" spans="1:6">
      <c r="A8" s="15" t="s">
        <v>27</v>
      </c>
      <c r="B8" s="16" t="s">
        <v>233</v>
      </c>
      <c r="C8" s="17" t="s">
        <v>19</v>
      </c>
      <c r="D8" s="18">
        <v>1</v>
      </c>
      <c r="E8" s="39">
        <v>160804.99</v>
      </c>
      <c r="F8" s="40">
        <v>16.08</v>
      </c>
    </row>
    <row r="9" spans="1:6">
      <c r="A9" s="15" t="s">
        <v>30</v>
      </c>
      <c r="B9" s="16" t="s">
        <v>270</v>
      </c>
      <c r="C9" s="17" t="s">
        <v>217</v>
      </c>
      <c r="D9" s="18">
        <v>29.4</v>
      </c>
      <c r="E9" s="39">
        <v>2850</v>
      </c>
      <c r="F9" s="40">
        <v>8.38</v>
      </c>
    </row>
    <row r="10" spans="1:6">
      <c r="A10" s="15" t="s">
        <v>32</v>
      </c>
      <c r="B10" s="16" t="s">
        <v>271</v>
      </c>
      <c r="C10" s="17"/>
      <c r="D10" s="18"/>
      <c r="E10" s="39"/>
      <c r="F10" s="40">
        <v>9.61</v>
      </c>
    </row>
    <row r="11" spans="1:6">
      <c r="A11" s="15" t="s">
        <v>34</v>
      </c>
      <c r="B11" s="16" t="s">
        <v>236</v>
      </c>
      <c r="C11" s="17" t="s">
        <v>29</v>
      </c>
      <c r="D11" s="18">
        <v>20</v>
      </c>
      <c r="E11" s="39">
        <v>2500</v>
      </c>
      <c r="F11" s="40">
        <v>5</v>
      </c>
    </row>
    <row r="12" spans="1:6">
      <c r="A12" s="15" t="s">
        <v>36</v>
      </c>
      <c r="B12" s="16" t="s">
        <v>272</v>
      </c>
      <c r="C12" s="17" t="s">
        <v>29</v>
      </c>
      <c r="D12" s="18">
        <v>40</v>
      </c>
      <c r="E12" s="39">
        <v>500</v>
      </c>
      <c r="F12" s="40">
        <v>2</v>
      </c>
    </row>
    <row r="13" spans="1:6">
      <c r="A13" s="15">
        <v>2</v>
      </c>
      <c r="B13" s="16" t="s">
        <v>373</v>
      </c>
      <c r="C13" s="17" t="s">
        <v>19</v>
      </c>
      <c r="D13" s="18">
        <v>2</v>
      </c>
      <c r="E13" s="39">
        <v>116100</v>
      </c>
      <c r="F13" s="40">
        <v>23.22</v>
      </c>
    </row>
    <row r="14" spans="1:6">
      <c r="A14" s="15" t="s">
        <v>27</v>
      </c>
      <c r="B14" s="16" t="s">
        <v>374</v>
      </c>
      <c r="C14" s="17" t="s">
        <v>19</v>
      </c>
      <c r="D14" s="18">
        <v>2</v>
      </c>
      <c r="E14" s="39">
        <v>96100</v>
      </c>
      <c r="F14" s="40">
        <v>19.22</v>
      </c>
    </row>
    <row r="15" spans="1:6">
      <c r="A15" s="15" t="s">
        <v>30</v>
      </c>
      <c r="B15" s="16" t="s">
        <v>272</v>
      </c>
      <c r="C15" s="17" t="s">
        <v>29</v>
      </c>
      <c r="D15" s="18">
        <v>80</v>
      </c>
      <c r="E15" s="39">
        <v>500</v>
      </c>
      <c r="F15" s="40">
        <v>4</v>
      </c>
    </row>
    <row r="16" spans="1:6">
      <c r="A16" s="15">
        <v>3</v>
      </c>
      <c r="B16" s="16" t="s">
        <v>375</v>
      </c>
      <c r="C16" s="17" t="s">
        <v>19</v>
      </c>
      <c r="D16" s="18">
        <v>2</v>
      </c>
      <c r="E16" s="39"/>
      <c r="F16" s="40">
        <v>10</v>
      </c>
    </row>
    <row r="17" spans="1:6">
      <c r="A17" s="15" t="s">
        <v>27</v>
      </c>
      <c r="B17" s="16" t="s">
        <v>376</v>
      </c>
      <c r="C17" s="17" t="s">
        <v>19</v>
      </c>
      <c r="D17" s="18">
        <v>2</v>
      </c>
      <c r="E17" s="39">
        <v>50000</v>
      </c>
      <c r="F17" s="40">
        <v>10</v>
      </c>
    </row>
    <row r="18" spans="1:6">
      <c r="A18" s="15">
        <v>4</v>
      </c>
      <c r="B18" s="16" t="s">
        <v>273</v>
      </c>
      <c r="C18" s="17"/>
      <c r="D18" s="18"/>
      <c r="E18" s="39"/>
      <c r="F18" s="40">
        <v>382.93</v>
      </c>
    </row>
    <row r="19" spans="1:6">
      <c r="A19" s="15" t="s">
        <v>27</v>
      </c>
      <c r="B19" s="16" t="s">
        <v>275</v>
      </c>
      <c r="C19" s="17" t="s">
        <v>29</v>
      </c>
      <c r="D19" s="18">
        <v>1520</v>
      </c>
      <c r="E19" s="39">
        <v>982.07</v>
      </c>
      <c r="F19" s="39">
        <v>149.27</v>
      </c>
    </row>
    <row r="20" spans="1:6">
      <c r="A20" s="15" t="s">
        <v>30</v>
      </c>
      <c r="B20" s="16" t="s">
        <v>276</v>
      </c>
      <c r="C20" s="17" t="s">
        <v>29</v>
      </c>
      <c r="D20" s="18">
        <v>4135</v>
      </c>
      <c r="E20" s="39">
        <v>357.93</v>
      </c>
      <c r="F20" s="39">
        <v>148</v>
      </c>
    </row>
    <row r="21" spans="1:6">
      <c r="A21" s="15" t="s">
        <v>32</v>
      </c>
      <c r="B21" s="16" t="s">
        <v>377</v>
      </c>
      <c r="C21" s="17" t="s">
        <v>29</v>
      </c>
      <c r="D21" s="18">
        <v>66</v>
      </c>
      <c r="E21" s="39">
        <v>954.42</v>
      </c>
      <c r="F21" s="40">
        <v>6.3</v>
      </c>
    </row>
    <row r="22" spans="1:6">
      <c r="A22" s="15" t="s">
        <v>34</v>
      </c>
      <c r="B22" s="16" t="s">
        <v>243</v>
      </c>
      <c r="C22" s="17"/>
      <c r="D22" s="18"/>
      <c r="E22" s="39"/>
      <c r="F22" s="40">
        <v>23.86</v>
      </c>
    </row>
    <row r="23" spans="1:6">
      <c r="A23" s="15" t="s">
        <v>36</v>
      </c>
      <c r="B23" s="16" t="s">
        <v>277</v>
      </c>
      <c r="C23" s="17"/>
      <c r="D23" s="18"/>
      <c r="E23" s="39"/>
      <c r="F23" s="40">
        <v>16.07</v>
      </c>
    </row>
    <row r="24" spans="1:6">
      <c r="A24" s="15" t="s">
        <v>278</v>
      </c>
      <c r="B24" s="16" t="s">
        <v>279</v>
      </c>
      <c r="C24" s="17" t="s">
        <v>204</v>
      </c>
      <c r="D24" s="18">
        <v>127</v>
      </c>
      <c r="E24" s="39">
        <v>816.99</v>
      </c>
      <c r="F24" s="40">
        <v>10.38</v>
      </c>
    </row>
    <row r="25" spans="1:6">
      <c r="A25" s="15" t="s">
        <v>280</v>
      </c>
      <c r="B25" s="16" t="s">
        <v>281</v>
      </c>
      <c r="C25" s="17" t="s">
        <v>204</v>
      </c>
      <c r="D25" s="18">
        <v>23</v>
      </c>
      <c r="E25" s="39">
        <v>2473.64</v>
      </c>
      <c r="F25" s="40">
        <v>5.69</v>
      </c>
    </row>
    <row r="26" spans="1:6">
      <c r="A26" s="15" t="s">
        <v>38</v>
      </c>
      <c r="B26" s="16" t="s">
        <v>283</v>
      </c>
      <c r="C26" s="17" t="s">
        <v>19</v>
      </c>
      <c r="D26" s="18">
        <v>20</v>
      </c>
      <c r="E26" s="39">
        <v>4823.89</v>
      </c>
      <c r="F26" s="40">
        <v>9.65</v>
      </c>
    </row>
    <row r="27" spans="1:6">
      <c r="A27" s="15" t="s">
        <v>40</v>
      </c>
      <c r="B27" s="16" t="s">
        <v>378</v>
      </c>
      <c r="C27" s="17" t="s">
        <v>19</v>
      </c>
      <c r="D27" s="18">
        <v>19</v>
      </c>
      <c r="E27" s="39">
        <v>3295.9</v>
      </c>
      <c r="F27" s="40">
        <v>6.26</v>
      </c>
    </row>
    <row r="28" spans="1:6">
      <c r="A28" s="15" t="s">
        <v>42</v>
      </c>
      <c r="B28" s="16" t="s">
        <v>379</v>
      </c>
      <c r="C28" s="17" t="s">
        <v>29</v>
      </c>
      <c r="D28" s="18">
        <v>30</v>
      </c>
      <c r="E28" s="39">
        <v>3300</v>
      </c>
      <c r="F28" s="40">
        <v>9.9</v>
      </c>
    </row>
    <row r="29" spans="1:6">
      <c r="A29" s="15" t="s">
        <v>44</v>
      </c>
      <c r="B29" s="16" t="s">
        <v>380</v>
      </c>
      <c r="C29" s="17" t="s">
        <v>29</v>
      </c>
      <c r="D29" s="18">
        <v>60</v>
      </c>
      <c r="E29" s="39">
        <v>2000</v>
      </c>
      <c r="F29" s="40">
        <v>12</v>
      </c>
    </row>
    <row r="30" spans="1:6">
      <c r="A30" s="15" t="s">
        <v>46</v>
      </c>
      <c r="B30" s="16" t="s">
        <v>288</v>
      </c>
      <c r="C30" s="17" t="s">
        <v>19</v>
      </c>
      <c r="D30" s="18">
        <v>2</v>
      </c>
      <c r="E30" s="39">
        <v>3500</v>
      </c>
      <c r="F30" s="40">
        <v>0.7</v>
      </c>
    </row>
    <row r="31" spans="1:6">
      <c r="A31" s="15" t="s">
        <v>48</v>
      </c>
      <c r="B31" s="16" t="s">
        <v>381</v>
      </c>
      <c r="C31" s="17" t="s">
        <v>19</v>
      </c>
      <c r="D31" s="18">
        <v>4</v>
      </c>
      <c r="E31" s="39">
        <v>2300</v>
      </c>
      <c r="F31" s="40">
        <v>0.92</v>
      </c>
    </row>
    <row r="32" spans="1:6">
      <c r="A32" s="15">
        <v>5</v>
      </c>
      <c r="B32" s="16" t="s">
        <v>289</v>
      </c>
      <c r="C32" s="17"/>
      <c r="D32" s="18"/>
      <c r="E32" s="39"/>
      <c r="F32" s="40">
        <v>213.65</v>
      </c>
    </row>
    <row r="33" spans="1:6">
      <c r="A33" s="15" t="s">
        <v>27</v>
      </c>
      <c r="B33" s="16" t="s">
        <v>290</v>
      </c>
      <c r="C33" s="17" t="s">
        <v>29</v>
      </c>
      <c r="D33" s="18">
        <v>6440</v>
      </c>
      <c r="E33" s="39">
        <v>306.5</v>
      </c>
      <c r="F33" s="40">
        <v>197.39</v>
      </c>
    </row>
    <row r="34" spans="1:6">
      <c r="A34" s="15" t="s">
        <v>30</v>
      </c>
      <c r="B34" s="16" t="s">
        <v>291</v>
      </c>
      <c r="C34" s="17" t="s">
        <v>292</v>
      </c>
      <c r="D34" s="18">
        <v>216</v>
      </c>
      <c r="E34" s="39">
        <v>56.97</v>
      </c>
      <c r="F34" s="40">
        <v>1.23</v>
      </c>
    </row>
    <row r="35" spans="1:6">
      <c r="A35" s="15" t="s">
        <v>32</v>
      </c>
      <c r="B35" s="16" t="s">
        <v>213</v>
      </c>
      <c r="C35" s="17" t="s">
        <v>252</v>
      </c>
      <c r="D35" s="18">
        <v>173</v>
      </c>
      <c r="E35" s="39">
        <v>230</v>
      </c>
      <c r="F35" s="40">
        <v>3.98</v>
      </c>
    </row>
    <row r="36" spans="1:6">
      <c r="A36" s="15" t="s">
        <v>34</v>
      </c>
      <c r="B36" s="16" t="s">
        <v>333</v>
      </c>
      <c r="C36" s="17" t="s">
        <v>19</v>
      </c>
      <c r="D36" s="18">
        <v>7</v>
      </c>
      <c r="E36" s="39">
        <v>6615.57</v>
      </c>
      <c r="F36" s="40">
        <v>4.63</v>
      </c>
    </row>
    <row r="37" spans="1:6">
      <c r="A37" s="15" t="s">
        <v>36</v>
      </c>
      <c r="B37" s="16" t="s">
        <v>294</v>
      </c>
      <c r="C37" s="17" t="s">
        <v>19</v>
      </c>
      <c r="D37" s="18">
        <v>20</v>
      </c>
      <c r="E37" s="39">
        <v>3208.82</v>
      </c>
      <c r="F37" s="40">
        <v>6.42</v>
      </c>
    </row>
    <row r="38" spans="1:6">
      <c r="A38" s="12" t="s">
        <v>214</v>
      </c>
      <c r="B38" s="13" t="s">
        <v>259</v>
      </c>
      <c r="C38" s="9"/>
      <c r="D38" s="14"/>
      <c r="E38" s="38"/>
      <c r="F38" s="36">
        <f>SUM(F39:F44)</f>
        <v>105.09</v>
      </c>
    </row>
    <row r="39" spans="1:6">
      <c r="A39" s="15" t="s">
        <v>17</v>
      </c>
      <c r="B39" s="16" t="s">
        <v>382</v>
      </c>
      <c r="C39" s="17" t="s">
        <v>217</v>
      </c>
      <c r="D39" s="18">
        <v>150</v>
      </c>
      <c r="E39" s="39">
        <v>261.22</v>
      </c>
      <c r="F39" s="40">
        <v>3.92</v>
      </c>
    </row>
    <row r="40" spans="1:6">
      <c r="A40" s="15" t="s">
        <v>20</v>
      </c>
      <c r="B40" s="16" t="s">
        <v>383</v>
      </c>
      <c r="C40" s="17" t="s">
        <v>384</v>
      </c>
      <c r="D40" s="18">
        <v>2350</v>
      </c>
      <c r="E40" s="39">
        <v>203.39</v>
      </c>
      <c r="F40" s="40">
        <v>47.8</v>
      </c>
    </row>
    <row r="41" spans="1:6">
      <c r="A41" s="15" t="s">
        <v>22</v>
      </c>
      <c r="B41" s="16" t="s">
        <v>295</v>
      </c>
      <c r="C41" s="17" t="s">
        <v>217</v>
      </c>
      <c r="D41" s="18">
        <v>660</v>
      </c>
      <c r="E41" s="39">
        <v>250.84</v>
      </c>
      <c r="F41" s="40">
        <v>16.56</v>
      </c>
    </row>
    <row r="42" spans="1:6">
      <c r="A42" s="15" t="s">
        <v>25</v>
      </c>
      <c r="B42" s="16" t="s">
        <v>385</v>
      </c>
      <c r="C42" s="17" t="s">
        <v>384</v>
      </c>
      <c r="D42" s="18">
        <v>300</v>
      </c>
      <c r="E42" s="39">
        <v>201.97</v>
      </c>
      <c r="F42" s="40">
        <v>6.06</v>
      </c>
    </row>
    <row r="43" spans="1:6">
      <c r="A43" s="15" t="s">
        <v>50</v>
      </c>
      <c r="B43" s="16" t="s">
        <v>386</v>
      </c>
      <c r="C43" s="17" t="s">
        <v>217</v>
      </c>
      <c r="D43" s="18">
        <v>960</v>
      </c>
      <c r="E43" s="39">
        <v>219.8</v>
      </c>
      <c r="F43" s="40">
        <v>21.1</v>
      </c>
    </row>
    <row r="44" spans="1:6">
      <c r="A44" s="15" t="s">
        <v>387</v>
      </c>
      <c r="B44" s="16" t="s">
        <v>388</v>
      </c>
      <c r="C44" s="17" t="s">
        <v>217</v>
      </c>
      <c r="D44" s="18">
        <v>330</v>
      </c>
      <c r="E44" s="39">
        <v>292.37</v>
      </c>
      <c r="F44" s="40">
        <v>9.65</v>
      </c>
    </row>
    <row r="45" spans="1:6">
      <c r="A45" s="12" t="s">
        <v>296</v>
      </c>
      <c r="B45" s="13" t="s">
        <v>297</v>
      </c>
      <c r="C45" s="9"/>
      <c r="D45" s="14"/>
      <c r="E45" s="38"/>
      <c r="F45" s="36">
        <f>F46+F47</f>
        <v>5.34</v>
      </c>
    </row>
    <row r="46" spans="1:6">
      <c r="A46" s="19">
        <v>1</v>
      </c>
      <c r="B46" s="20" t="s">
        <v>298</v>
      </c>
      <c r="C46" s="21" t="s">
        <v>299</v>
      </c>
      <c r="D46" s="22">
        <v>100</v>
      </c>
      <c r="E46" s="22">
        <v>234</v>
      </c>
      <c r="F46" s="40">
        <f>E46*D46/10000</f>
        <v>2.34</v>
      </c>
    </row>
    <row r="47" spans="1:6">
      <c r="A47" s="19">
        <v>2</v>
      </c>
      <c r="B47" s="20" t="s">
        <v>264</v>
      </c>
      <c r="C47" s="21" t="s">
        <v>265</v>
      </c>
      <c r="D47" s="22">
        <v>5</v>
      </c>
      <c r="E47" s="22">
        <v>6000</v>
      </c>
      <c r="F47" s="40">
        <f>E47*D47/10000</f>
        <v>3</v>
      </c>
    </row>
    <row r="48" spans="1:6">
      <c r="A48" s="19"/>
      <c r="B48" s="20"/>
      <c r="C48" s="21"/>
      <c r="D48" s="22"/>
      <c r="E48" s="22"/>
      <c r="F48" s="40"/>
    </row>
    <row r="49" spans="1:6">
      <c r="A49" s="23" t="s">
        <v>82</v>
      </c>
      <c r="B49" s="24" t="s">
        <v>219</v>
      </c>
      <c r="C49" s="25"/>
      <c r="D49" s="26"/>
      <c r="E49" s="30"/>
      <c r="F49" s="41">
        <f>F50+F51+F52+F55+F56+F59</f>
        <v>60.59</v>
      </c>
    </row>
    <row r="50" spans="1:6">
      <c r="A50" s="21" t="s">
        <v>11</v>
      </c>
      <c r="B50" s="27" t="s">
        <v>220</v>
      </c>
      <c r="C50" s="28"/>
      <c r="D50" s="29"/>
      <c r="E50" s="30"/>
      <c r="F50" s="42">
        <v>3.5</v>
      </c>
    </row>
    <row r="51" spans="1:6">
      <c r="A51" s="21" t="s">
        <v>15</v>
      </c>
      <c r="B51" s="27" t="s">
        <v>221</v>
      </c>
      <c r="C51" s="28"/>
      <c r="D51" s="29"/>
      <c r="E51" s="30"/>
      <c r="F51" s="42">
        <v>1</v>
      </c>
    </row>
    <row r="52" spans="1:6">
      <c r="A52" s="21" t="s">
        <v>58</v>
      </c>
      <c r="B52" s="27" t="s">
        <v>222</v>
      </c>
      <c r="C52" s="28"/>
      <c r="D52" s="30"/>
      <c r="E52" s="30"/>
      <c r="F52" s="42">
        <f>F53+F54</f>
        <v>20.13</v>
      </c>
    </row>
    <row r="53" spans="1:6">
      <c r="A53" s="21" t="s">
        <v>17</v>
      </c>
      <c r="B53" s="27" t="s">
        <v>223</v>
      </c>
      <c r="C53" s="28"/>
      <c r="D53" s="30"/>
      <c r="E53" s="30"/>
      <c r="F53" s="42">
        <v>14.86</v>
      </c>
    </row>
    <row r="54" spans="1:6">
      <c r="A54" s="21" t="s">
        <v>20</v>
      </c>
      <c r="B54" s="27" t="s">
        <v>224</v>
      </c>
      <c r="C54" s="28"/>
      <c r="D54" s="30"/>
      <c r="E54" s="30"/>
      <c r="F54" s="42">
        <v>5.27</v>
      </c>
    </row>
    <row r="55" spans="1:6">
      <c r="A55" s="21" t="s">
        <v>64</v>
      </c>
      <c r="B55" s="27" t="s">
        <v>225</v>
      </c>
      <c r="C55" s="28"/>
      <c r="D55" s="30"/>
      <c r="E55" s="30"/>
      <c r="F55" s="42">
        <v>6.53</v>
      </c>
    </row>
    <row r="56" spans="1:6">
      <c r="A56" s="21" t="s">
        <v>72</v>
      </c>
      <c r="B56" s="31" t="s">
        <v>97</v>
      </c>
      <c r="C56" s="28"/>
      <c r="D56" s="29"/>
      <c r="E56" s="30"/>
      <c r="F56" s="42">
        <f>SUM(F57:F58)</f>
        <v>27.4</v>
      </c>
    </row>
    <row r="57" spans="1:6">
      <c r="A57" s="21" t="s">
        <v>17</v>
      </c>
      <c r="B57" s="27" t="s">
        <v>226</v>
      </c>
      <c r="C57" s="28"/>
      <c r="D57" s="30"/>
      <c r="E57" s="30"/>
      <c r="F57" s="42">
        <v>7.55</v>
      </c>
    </row>
    <row r="58" spans="1:6">
      <c r="A58" s="21" t="s">
        <v>20</v>
      </c>
      <c r="B58" s="27" t="s">
        <v>227</v>
      </c>
      <c r="C58" s="28"/>
      <c r="D58" s="30"/>
      <c r="E58" s="30"/>
      <c r="F58" s="42">
        <v>19.85</v>
      </c>
    </row>
    <row r="59" spans="1:6">
      <c r="A59" s="21" t="s">
        <v>77</v>
      </c>
      <c r="B59" s="27" t="s">
        <v>105</v>
      </c>
      <c r="C59" s="28"/>
      <c r="D59" s="30"/>
      <c r="E59" s="30"/>
      <c r="F59" s="42">
        <v>2.03</v>
      </c>
    </row>
    <row r="60" spans="1:6">
      <c r="A60" s="21"/>
      <c r="B60" s="27"/>
      <c r="C60" s="28"/>
      <c r="D60" s="30"/>
      <c r="E60" s="30"/>
      <c r="F60" s="42"/>
    </row>
    <row r="61" spans="1:6">
      <c r="A61" s="32" t="s">
        <v>85</v>
      </c>
      <c r="B61" s="33" t="s">
        <v>228</v>
      </c>
      <c r="C61" s="8" t="s">
        <v>14</v>
      </c>
      <c r="D61" s="9">
        <v>679.54</v>
      </c>
      <c r="E61" s="35">
        <f>F61/D61*10000</f>
        <v>12628.98</v>
      </c>
      <c r="F61" s="38">
        <f>F4+F49</f>
        <v>858.19</v>
      </c>
    </row>
  </sheetData>
  <mergeCells count="1">
    <mergeCell ref="A2:F2"/>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9</vt:i4>
      </vt:variant>
    </vt:vector>
  </HeadingPairs>
  <TitlesOfParts>
    <vt:vector size="9" baseType="lpstr">
      <vt:lpstr>6#7#</vt:lpstr>
      <vt:lpstr>项目投资概算及资金来源表</vt:lpstr>
      <vt:lpstr>造价服务及招标代理</vt:lpstr>
      <vt:lpstr>1金山区枫泾镇团新村</vt:lpstr>
      <vt:lpstr>2金山区枫泾镇卫星村</vt:lpstr>
      <vt:lpstr>3金山区朱泾镇温河村</vt:lpstr>
      <vt:lpstr>4金山区亭林镇驳岸村</vt:lpstr>
      <vt:lpstr>5金山区枫泾镇后岗村 </vt:lpstr>
      <vt:lpstr>6上海湾区高新区欢兴村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2019-12-13T14:46:00Z</dcterms:created>
  <cp:lastPrinted>2022-09-19T15:21:00Z</cp:lastPrinted>
  <dcterms:modified xsi:type="dcterms:W3CDTF">2023-08-23T12:06:51Z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14EAC598B4D8429FA7AD0D49D1812087</vt:lpwstr>
  </property>
</Properties>
</file>