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140" tabRatio="890" firstSheet="7" activeTab="7"/>
  </bookViews>
  <sheets>
    <sheet name="汇总表" sheetId="1" state="hidden" r:id="rId1"/>
    <sheet name="地产北湖" sheetId="2" state="hidden" r:id="rId2"/>
    <sheet name="崇明新村" sheetId="3" state="hidden" r:id="rId3"/>
    <sheet name="光明跃进" sheetId="4" state="hidden" r:id="rId4"/>
    <sheet name="崇明庙镇" sheetId="7" state="hidden" r:id="rId5"/>
    <sheet name="崇明城桥镇" sheetId="9" state="hidden" r:id="rId6"/>
    <sheet name="崇明陈家镇" sheetId="10" state="hidden" r:id="rId7"/>
    <sheet name="附件1" sheetId="21" r:id="rId8"/>
    <sheet name="附件2" sheetId="22" r:id="rId9"/>
    <sheet name="附件3" sheetId="23" r:id="rId10"/>
    <sheet name="附件4" sheetId="17" r:id="rId11"/>
    <sheet name="附件5" sheetId="24" r:id="rId12"/>
    <sheet name="附件6" sheetId="20" r:id="rId13"/>
    <sheet name="6#7#" sheetId="14" state="hidden" r:id="rId14"/>
    <sheet name="项目投资概算及资金来源表" sheetId="15" state="hidden" r:id="rId15"/>
    <sheet name="造价服务及招标代理" sheetId="16" state="hidden" r:id="rId16"/>
  </sheets>
  <definedNames>
    <definedName name="_1.8__0.1_0.15_0.05_0.06" localSheetId="13">#REF!</definedName>
    <definedName name="h" localSheetId="13">#REF!</definedName>
    <definedName name="_xlnm.Print_Area" localSheetId="13">'6#7#'!$A$1</definedName>
    <definedName name="_xlnm.Print_Titles" localSheetId="13">'6#7#'!$1:$1</definedName>
    <definedName name="qqq" localSheetId="13">#REF!</definedName>
    <definedName name="qqqq" localSheetId="13">#REF!</definedName>
    <definedName name="qqqq" localSheetId="15">#REF!</definedName>
    <definedName name="qqqqqq" localSheetId="13">#REF!</definedName>
    <definedName name="wwwww" localSheetId="13">#REF!</definedName>
    <definedName name="z" localSheetId="13">#REF!</definedName>
    <definedName name="Z_62AB6EBE_BD4F_4AB3_96CE_7CC65DA0F101_.wvu.Cols" localSheetId="7" hidden="1">附件1!$G:$AE</definedName>
    <definedName name="Z_62AB6EBE_BD4F_4AB3_96CE_7CC65DA0F101_.wvu.PrintArea" localSheetId="13" hidden="1">'6#7#'!$A$1</definedName>
    <definedName name="Z_62AB6EBE_BD4F_4AB3_96CE_7CC65DA0F101_.wvu.PrintTitles" localSheetId="13" hidden="1">'6#7#'!$1:$1</definedName>
    <definedName name="Z_62AB6EBE_BD4F_4AB3_96CE_7CC65DA0F101_.wvu.Rows" localSheetId="13" hidden="1">'6#7#'!$43:$46,'6#7#'!$50:$62</definedName>
    <definedName name="Z_CACB5A60_87BE_41C3_8157_5154F532A20B_.wvu.Cols" localSheetId="7" hidden="1">附件1!$G:$AE</definedName>
    <definedName name="Z_CACB5A60_87BE_41C3_8157_5154F532A20B_.wvu.PrintArea" localSheetId="13" hidden="1">'6#7#'!$A$1</definedName>
    <definedName name="Z_CACB5A60_87BE_41C3_8157_5154F532A20B_.wvu.PrintTitles" localSheetId="13" hidden="1">'6#7#'!$1:$1</definedName>
    <definedName name="Z_CACB5A60_87BE_41C3_8157_5154F532A20B_.wvu.Rows" localSheetId="13" hidden="1">'6#7#'!$43:$46,'6#7#'!$50:$62</definedName>
    <definedName name="调2" localSheetId="13">#REF!</definedName>
    <definedName name="我" localSheetId="13">#REF!</definedName>
  </definedNames>
  <calcPr calcId="144525" fullPrecision="0" concurrentCalc="0"/>
</workbook>
</file>

<file path=xl/comments1.xml><?xml version="1.0" encoding="utf-8"?>
<comments xmlns="http://schemas.openxmlformats.org/spreadsheetml/2006/main">
  <authors>
    <author>D D</author>
  </authors>
  <commentList>
    <comment ref="L34" authorId="0">
      <text>
        <r>
          <rPr>
            <sz val="9"/>
            <rFont val="宋体"/>
            <charset val="134"/>
          </rPr>
          <t>包括项目评审、实地考察、检查验收、工程实施监管、绩效评价、资金和项目公示等费用，根据《上海市农田建设项目和资金管理办法》，项目总投资</t>
        </r>
        <r>
          <rPr>
            <sz val="9"/>
            <rFont val="Tahoma"/>
            <charset val="134"/>
          </rPr>
          <t>1500</t>
        </r>
        <r>
          <rPr>
            <sz val="9"/>
            <rFont val="宋体"/>
            <charset val="134"/>
          </rPr>
          <t>万元（含）以下的按不高于</t>
        </r>
        <r>
          <rPr>
            <sz val="9"/>
            <rFont val="Tahoma"/>
            <charset val="134"/>
          </rPr>
          <t>3%</t>
        </r>
        <r>
          <rPr>
            <sz val="9"/>
            <rFont val="宋体"/>
            <charset val="134"/>
          </rPr>
          <t>提取；项目总投资超过</t>
        </r>
        <r>
          <rPr>
            <sz val="9"/>
            <rFont val="Tahoma"/>
            <charset val="134"/>
          </rPr>
          <t>1500</t>
        </r>
        <r>
          <rPr>
            <sz val="9"/>
            <rFont val="宋体"/>
            <charset val="134"/>
          </rPr>
          <t>万元的，其超过部分按不高于</t>
        </r>
        <r>
          <rPr>
            <sz val="9"/>
            <rFont val="Tahoma"/>
            <charset val="134"/>
          </rPr>
          <t>1%</t>
        </r>
        <r>
          <rPr>
            <sz val="9"/>
            <rFont val="宋体"/>
            <charset val="134"/>
          </rPr>
          <t>提取。</t>
        </r>
      </text>
    </comment>
  </commentList>
</comments>
</file>

<file path=xl/comments2.xml><?xml version="1.0" encoding="utf-8"?>
<comments xmlns="http://schemas.openxmlformats.org/spreadsheetml/2006/main">
  <authors>
    <author>D D</author>
  </authors>
  <commentList>
    <comment ref="L41" authorId="0">
      <text>
        <r>
          <rPr>
            <sz val="9"/>
            <rFont val="宋体"/>
            <charset val="134"/>
          </rPr>
          <t>包括项目评审、实地考察、检查验收、工程实施监管、绩效评价、资金和项目公示等费用，根据《上海市农田建设项目和资金管理办法》，项目总投资</t>
        </r>
        <r>
          <rPr>
            <sz val="9"/>
            <rFont val="Tahoma"/>
            <charset val="134"/>
          </rPr>
          <t>1500</t>
        </r>
        <r>
          <rPr>
            <sz val="9"/>
            <rFont val="宋体"/>
            <charset val="134"/>
          </rPr>
          <t>万元（含）以下的按不高于</t>
        </r>
        <r>
          <rPr>
            <sz val="9"/>
            <rFont val="Tahoma"/>
            <charset val="134"/>
          </rPr>
          <t>3%</t>
        </r>
        <r>
          <rPr>
            <sz val="9"/>
            <rFont val="宋体"/>
            <charset val="134"/>
          </rPr>
          <t>提取；项目总投资超过</t>
        </r>
        <r>
          <rPr>
            <sz val="9"/>
            <rFont val="Tahoma"/>
            <charset val="134"/>
          </rPr>
          <t>1500</t>
        </r>
        <r>
          <rPr>
            <sz val="9"/>
            <rFont val="宋体"/>
            <charset val="134"/>
          </rPr>
          <t>万元的，其超过部分按不高于</t>
        </r>
        <r>
          <rPr>
            <sz val="9"/>
            <rFont val="Tahoma"/>
            <charset val="134"/>
          </rPr>
          <t>1%</t>
        </r>
        <r>
          <rPr>
            <sz val="9"/>
            <rFont val="宋体"/>
            <charset val="134"/>
          </rPr>
          <t>提取。</t>
        </r>
      </text>
    </comment>
  </commentList>
</comments>
</file>

<file path=xl/comments3.xml><?xml version="1.0" encoding="utf-8"?>
<comments xmlns="http://schemas.openxmlformats.org/spreadsheetml/2006/main">
  <authors>
    <author>D D</author>
  </authors>
  <commentList>
    <comment ref="L39" authorId="0">
      <text>
        <r>
          <rPr>
            <sz val="9"/>
            <rFont val="宋体"/>
            <charset val="134"/>
          </rPr>
          <t>包括项目评审、实地考察、检查验收、工程实施监管、绩效评价、资金和项目公示等费用，根据《上海市农田建设项目和资金管理办法》，项目总投资</t>
        </r>
        <r>
          <rPr>
            <sz val="9"/>
            <rFont val="Tahoma"/>
            <charset val="134"/>
          </rPr>
          <t>1500</t>
        </r>
        <r>
          <rPr>
            <sz val="9"/>
            <rFont val="宋体"/>
            <charset val="134"/>
          </rPr>
          <t>万元（含）以下的按不高于</t>
        </r>
        <r>
          <rPr>
            <sz val="9"/>
            <rFont val="Tahoma"/>
            <charset val="134"/>
          </rPr>
          <t>3%</t>
        </r>
        <r>
          <rPr>
            <sz val="9"/>
            <rFont val="宋体"/>
            <charset val="134"/>
          </rPr>
          <t>提取；项目总投资超过</t>
        </r>
        <r>
          <rPr>
            <sz val="9"/>
            <rFont val="Tahoma"/>
            <charset val="134"/>
          </rPr>
          <t>1500</t>
        </r>
        <r>
          <rPr>
            <sz val="9"/>
            <rFont val="宋体"/>
            <charset val="134"/>
          </rPr>
          <t>万元的，其超过部分按不高于</t>
        </r>
        <r>
          <rPr>
            <sz val="9"/>
            <rFont val="Tahoma"/>
            <charset val="134"/>
          </rPr>
          <t>1%</t>
        </r>
        <r>
          <rPr>
            <sz val="9"/>
            <rFont val="宋体"/>
            <charset val="134"/>
          </rPr>
          <t>提取。</t>
        </r>
      </text>
    </comment>
  </commentList>
</comments>
</file>

<file path=xl/comments4.xml><?xml version="1.0" encoding="utf-8"?>
<comments xmlns="http://schemas.openxmlformats.org/spreadsheetml/2006/main">
  <authors>
    <author>D D</author>
  </authors>
  <commentList>
    <comment ref="L37" authorId="0">
      <text>
        <r>
          <rPr>
            <sz val="9"/>
            <rFont val="宋体"/>
            <charset val="134"/>
          </rPr>
          <t>包括项目评审、实地考察、检查验收、工程实施监管、绩效评价、资金和项目公示等费用，根据《上海市农田建设项目和资金管理办法》，项目总投资</t>
        </r>
        <r>
          <rPr>
            <sz val="9"/>
            <rFont val="Tahoma"/>
            <charset val="134"/>
          </rPr>
          <t>1500</t>
        </r>
        <r>
          <rPr>
            <sz val="9"/>
            <rFont val="宋体"/>
            <charset val="134"/>
          </rPr>
          <t>万元（含）以下的按不高于</t>
        </r>
        <r>
          <rPr>
            <sz val="9"/>
            <rFont val="Tahoma"/>
            <charset val="134"/>
          </rPr>
          <t>3%</t>
        </r>
        <r>
          <rPr>
            <sz val="9"/>
            <rFont val="宋体"/>
            <charset val="134"/>
          </rPr>
          <t>提取；项目总投资超过</t>
        </r>
        <r>
          <rPr>
            <sz val="9"/>
            <rFont val="Tahoma"/>
            <charset val="134"/>
          </rPr>
          <t>1500</t>
        </r>
        <r>
          <rPr>
            <sz val="9"/>
            <rFont val="宋体"/>
            <charset val="134"/>
          </rPr>
          <t>万元的，其超过部分按不高于</t>
        </r>
        <r>
          <rPr>
            <sz val="9"/>
            <rFont val="Tahoma"/>
            <charset val="134"/>
          </rPr>
          <t>1%</t>
        </r>
        <r>
          <rPr>
            <sz val="9"/>
            <rFont val="宋体"/>
            <charset val="134"/>
          </rPr>
          <t>提取。</t>
        </r>
      </text>
    </comment>
  </commentList>
</comments>
</file>

<file path=xl/comments5.xml><?xml version="1.0" encoding="utf-8"?>
<comments xmlns="http://schemas.openxmlformats.org/spreadsheetml/2006/main">
  <authors>
    <author>D D</author>
  </authors>
  <commentList>
    <comment ref="L48" authorId="0">
      <text>
        <r>
          <rPr>
            <sz val="9"/>
            <rFont val="宋体"/>
            <charset val="134"/>
          </rPr>
          <t>包括项目评审、实地考察、检查验收、工程实施监管、绩效评价、资金和项目公示等费用，根据《上海市农田建设项目和资金管理办法》，项目总投资</t>
        </r>
        <r>
          <rPr>
            <sz val="9"/>
            <rFont val="Tahoma"/>
            <charset val="134"/>
          </rPr>
          <t>1500</t>
        </r>
        <r>
          <rPr>
            <sz val="9"/>
            <rFont val="宋体"/>
            <charset val="134"/>
          </rPr>
          <t>万元（含）以下的按不高于</t>
        </r>
        <r>
          <rPr>
            <sz val="9"/>
            <rFont val="Tahoma"/>
            <charset val="134"/>
          </rPr>
          <t>3%</t>
        </r>
        <r>
          <rPr>
            <sz val="9"/>
            <rFont val="宋体"/>
            <charset val="134"/>
          </rPr>
          <t>提取；项目总投资超过</t>
        </r>
        <r>
          <rPr>
            <sz val="9"/>
            <rFont val="Tahoma"/>
            <charset val="134"/>
          </rPr>
          <t>1500</t>
        </r>
        <r>
          <rPr>
            <sz val="9"/>
            <rFont val="宋体"/>
            <charset val="134"/>
          </rPr>
          <t>万元的，其超过部分按不高于</t>
        </r>
        <r>
          <rPr>
            <sz val="9"/>
            <rFont val="Tahoma"/>
            <charset val="134"/>
          </rPr>
          <t>1%</t>
        </r>
        <r>
          <rPr>
            <sz val="9"/>
            <rFont val="宋体"/>
            <charset val="134"/>
          </rPr>
          <t>提取。</t>
        </r>
      </text>
    </comment>
  </commentList>
</comments>
</file>

<file path=xl/comments6.xml><?xml version="1.0" encoding="utf-8"?>
<comments xmlns="http://schemas.openxmlformats.org/spreadsheetml/2006/main">
  <authors>
    <author>D D</author>
  </authors>
  <commentList>
    <comment ref="L54" authorId="0">
      <text>
        <r>
          <rPr>
            <sz val="9"/>
            <rFont val="宋体"/>
            <charset val="134"/>
          </rPr>
          <t>包括项目评审、实地考察、检查验收、工程实施监管、绩效评价、资金和项目公示等费用，根据《上海市农田建设项目和资金管理办法》，项目总投资</t>
        </r>
        <r>
          <rPr>
            <sz val="9"/>
            <rFont val="Tahoma"/>
            <charset val="134"/>
          </rPr>
          <t>1500</t>
        </r>
        <r>
          <rPr>
            <sz val="9"/>
            <rFont val="宋体"/>
            <charset val="134"/>
          </rPr>
          <t>万元（含）以下的按不高于</t>
        </r>
        <r>
          <rPr>
            <sz val="9"/>
            <rFont val="Tahoma"/>
            <charset val="134"/>
          </rPr>
          <t>3%</t>
        </r>
        <r>
          <rPr>
            <sz val="9"/>
            <rFont val="宋体"/>
            <charset val="134"/>
          </rPr>
          <t>提取；项目总投资超过</t>
        </r>
        <r>
          <rPr>
            <sz val="9"/>
            <rFont val="Tahoma"/>
            <charset val="134"/>
          </rPr>
          <t>1500</t>
        </r>
        <r>
          <rPr>
            <sz val="9"/>
            <rFont val="宋体"/>
            <charset val="134"/>
          </rPr>
          <t>万元的，其超过部分按不高于</t>
        </r>
        <r>
          <rPr>
            <sz val="9"/>
            <rFont val="Tahoma"/>
            <charset val="134"/>
          </rPr>
          <t>1%</t>
        </r>
        <r>
          <rPr>
            <sz val="9"/>
            <rFont val="宋体"/>
            <charset val="134"/>
          </rPr>
          <t>提取。</t>
        </r>
      </text>
    </comment>
  </commentList>
</comments>
</file>

<file path=xl/sharedStrings.xml><?xml version="1.0" encoding="utf-8"?>
<sst xmlns="http://schemas.openxmlformats.org/spreadsheetml/2006/main" count="2273" uniqueCount="646">
  <si>
    <t>2022年农田建设项目设计概算审核汇总表</t>
  </si>
  <si>
    <t>序号</t>
  </si>
  <si>
    <t>项目名称</t>
  </si>
  <si>
    <t>报审概算投资</t>
  </si>
  <si>
    <t>评审概算投资</t>
  </si>
  <si>
    <t>核增、减额
（万元）</t>
  </si>
  <si>
    <t>投资总额
（万元）</t>
  </si>
  <si>
    <t>设计面积
（亩）</t>
  </si>
  <si>
    <t>亩均投资
（万元）</t>
  </si>
  <si>
    <t>金山区枫泾镇菖梧村粮田建设项目</t>
  </si>
  <si>
    <t>金山区吕巷镇颜圩村粮田建设项目</t>
  </si>
  <si>
    <t>金山区朱泾镇万联村农田建设项目</t>
  </si>
  <si>
    <t>金山区漕泾镇护塘村粮田建设项目</t>
  </si>
  <si>
    <t>上海湾区高新区立新村粮田建设项目</t>
  </si>
  <si>
    <t>金山区亭林镇亭西村粮田建设项目</t>
  </si>
  <si>
    <t>小计</t>
  </si>
  <si>
    <t>崇明区陈家镇德云村粮田建设项目</t>
  </si>
  <si>
    <t>崇明区庙镇垦区粮田建设项目</t>
  </si>
  <si>
    <t>崇明区城桥镇鳌山垦区粮田建设项目</t>
  </si>
  <si>
    <t>崇明区新村乡垦区粮田建设项目</t>
  </si>
  <si>
    <t>光明食品集团2022年跃进农场农田建设项目</t>
  </si>
  <si>
    <t>崇明北湖6号-3地块高标准农田建设项目</t>
  </si>
  <si>
    <t>合计</t>
  </si>
  <si>
    <t>设计概算审核对比表</t>
  </si>
  <si>
    <t>报审概算</t>
  </si>
  <si>
    <t>评审概算</t>
  </si>
  <si>
    <t>调整金额
(万元)</t>
  </si>
  <si>
    <t>备注</t>
  </si>
  <si>
    <t>单位</t>
  </si>
  <si>
    <t>数量</t>
  </si>
  <si>
    <t>单价
(元)</t>
  </si>
  <si>
    <t>合计
(万元)</t>
  </si>
  <si>
    <t>一</t>
  </si>
  <si>
    <t>工程费用</t>
  </si>
  <si>
    <t>(一)</t>
  </si>
  <si>
    <t>土地平整</t>
  </si>
  <si>
    <t>亩</t>
  </si>
  <si>
    <t>(二)</t>
  </si>
  <si>
    <t>灌溉与排水</t>
  </si>
  <si>
    <t>1</t>
  </si>
  <si>
    <t>灌溉泵站（双泵）</t>
  </si>
  <si>
    <t>座</t>
  </si>
  <si>
    <t>双泵</t>
  </si>
  <si>
    <t>(1)</t>
  </si>
  <si>
    <t>泵站土建</t>
  </si>
  <si>
    <r>
      <rPr>
        <sz val="10"/>
        <color rgb="FFFF0000"/>
        <rFont val="宋体"/>
        <charset val="134"/>
      </rPr>
      <t>泵房建筑面积26.68m</t>
    </r>
    <r>
      <rPr>
        <vertAlign val="superscript"/>
        <sz val="10"/>
        <color rgb="FFFF0000"/>
        <rFont val="宋体"/>
        <charset val="134"/>
      </rPr>
      <t>2</t>
    </r>
    <r>
      <rPr>
        <sz val="10"/>
        <color rgb="FFFF0000"/>
        <rFont val="宋体"/>
        <charset val="134"/>
      </rPr>
      <t>,泵站基础采用300*300预制方桩</t>
    </r>
  </si>
  <si>
    <t>(2)</t>
  </si>
  <si>
    <t>泵站设备</t>
  </si>
  <si>
    <r>
      <rPr>
        <sz val="10"/>
        <color rgb="FFFF0000"/>
        <rFont val="宋体"/>
        <charset val="134"/>
      </rPr>
      <t>250ZLB-100,流量0.24m</t>
    </r>
    <r>
      <rPr>
        <vertAlign val="superscript"/>
        <sz val="10"/>
        <color rgb="FFFF0000"/>
        <rFont val="宋体"/>
        <charset val="134"/>
      </rPr>
      <t>3</t>
    </r>
    <r>
      <rPr>
        <sz val="10"/>
        <color rgb="FFFF0000"/>
        <rFont val="宋体"/>
        <charset val="134"/>
      </rPr>
      <t>/S,功率15KW</t>
    </r>
  </si>
  <si>
    <t>(3)</t>
  </si>
  <si>
    <t>施工围堰</t>
  </si>
  <si>
    <t>m</t>
  </si>
  <si>
    <t>2</t>
  </si>
  <si>
    <t>渠道工程</t>
  </si>
  <si>
    <t>新建干渠(暗管)Upvc管φ800</t>
  </si>
  <si>
    <t>100厚砂垫层,覆土700mm</t>
  </si>
  <si>
    <t>新建支渠(口宽0.7m,深0.7m)</t>
  </si>
  <si>
    <t>预制H-700（预制钢砼），无压顶 梯形槽口宽0.7m，深0.7m，侧壁厚0.033m，底板厚0.05m</t>
  </si>
  <si>
    <t>定额套用错误，单价偏低</t>
  </si>
  <si>
    <t>阀门井</t>
  </si>
  <si>
    <t>个</t>
  </si>
  <si>
    <t>砖砌井(净空0.50m*0.50m*0.60m) DN200给水栓 含0.95m钢筋砼挡墙</t>
  </si>
  <si>
    <t>(4)</t>
  </si>
  <si>
    <t>支渠出水管1</t>
  </si>
  <si>
    <t>双侧出水,DN200PVC管5.6m</t>
  </si>
  <si>
    <t>(5)</t>
  </si>
  <si>
    <t>支渠出水管2</t>
  </si>
  <si>
    <t>单侧出水，DN200PVC管1.45m</t>
  </si>
  <si>
    <t>(6)</t>
  </si>
  <si>
    <t>溢流式放水井</t>
  </si>
  <si>
    <t>砖砌井(净空0.50m*0.50m*0.70m)</t>
  </si>
  <si>
    <t>(三)</t>
  </si>
  <si>
    <t>田间道路</t>
  </si>
  <si>
    <t>生产路(北侧，4m宽)</t>
  </si>
  <si>
    <t>m2</t>
  </si>
  <si>
    <t>15cm厚C30砼、20cm碎石、夯实路基</t>
  </si>
  <si>
    <t>生产路(南侧，2.2m宽)</t>
  </si>
  <si>
    <t>同上</t>
  </si>
  <si>
    <t>3</t>
  </si>
  <si>
    <t>田间道(2.2m宽)</t>
  </si>
  <si>
    <t>4</t>
  </si>
  <si>
    <t>会车墩</t>
  </si>
  <si>
    <t>15cm厚C30砼、15cm碎石、夯实路基</t>
  </si>
  <si>
    <t>5</t>
  </si>
  <si>
    <t>道路转角</t>
  </si>
  <si>
    <t>6</t>
  </si>
  <si>
    <t>下田坡道5m*4m</t>
  </si>
  <si>
    <t>25cm厚C30砼、10cm厚C15垫层、夯实路基，设计图示5m*4m，报告文字描述5*3</t>
  </si>
  <si>
    <t>下田坡道5m*3m 名称改为“下田坡道5m*4m”</t>
  </si>
  <si>
    <t>7</t>
  </si>
  <si>
    <t>农桥</t>
  </si>
  <si>
    <t>桥面6.0m*15.0m</t>
  </si>
  <si>
    <t>(四)</t>
  </si>
  <si>
    <t>农田输配电</t>
  </si>
  <si>
    <t>农田输配电工程</t>
  </si>
  <si>
    <t>项</t>
  </si>
  <si>
    <t>(五)</t>
  </si>
  <si>
    <t>其他工程</t>
  </si>
  <si>
    <t>仓库</t>
  </si>
  <si>
    <t>晒场</t>
  </si>
  <si>
    <t>二</t>
  </si>
  <si>
    <t>工程建设其他费用</t>
  </si>
  <si>
    <t>项目管理费</t>
  </si>
  <si>
    <t>沪农委规[2019]20号</t>
  </si>
  <si>
    <t>工程建设监理费</t>
  </si>
  <si>
    <t>施工监理费</t>
  </si>
  <si>
    <t>发改价格[2007]670号 专业系数取0.9，复杂程度调整系数取0.85</t>
  </si>
  <si>
    <t>财务监理费</t>
  </si>
  <si>
    <t>沪发改投[2016]70号</t>
  </si>
  <si>
    <t>招标代理费</t>
  </si>
  <si>
    <t>工程量清单编制费</t>
  </si>
  <si>
    <t>沪建计联[2005]834号</t>
  </si>
  <si>
    <t>勘察设计费</t>
  </si>
  <si>
    <t>勘察费</t>
  </si>
  <si>
    <t>2000以上费率0.5%，含2000及以下1%</t>
  </si>
  <si>
    <t>设计费</t>
  </si>
  <si>
    <t>专业系数取0.8，复杂系数取0.85</t>
  </si>
  <si>
    <t>审计费</t>
  </si>
  <si>
    <t>1、50万元以下3000元；
2、50万元-500万元（含50万元） 0.2%；
3、500万元-2000万元（含500万元） 0.14%；
4、2000万元-5000万元（含2000万元） 0.094%</t>
  </si>
  <si>
    <t>三</t>
  </si>
  <si>
    <t>项目总投资</t>
  </si>
  <si>
    <t>总投资</t>
  </si>
  <si>
    <t>田块修筑</t>
  </si>
  <si>
    <t>细部平整</t>
  </si>
  <si>
    <t>更新改造灌溉泵站（单泵）</t>
  </si>
  <si>
    <t>350ZLB-3单泵1座+300HW-8B单泵1座，更换水泵+出水池改造</t>
  </si>
  <si>
    <t>更新改造灌溉泵站（双泵）</t>
  </si>
  <si>
    <t>350ZLB-3双泵7座+300HW-8B双泵2座，更换水泵+出水池改造</t>
  </si>
  <si>
    <t>灌溉设施</t>
  </si>
  <si>
    <t>DN710UPVC 实壁管</t>
  </si>
  <si>
    <t>DN630UPVC 实壁管</t>
  </si>
  <si>
    <t>DN400UPVC 实壁管</t>
  </si>
  <si>
    <t>DN160UPVC 实壁管</t>
  </si>
  <si>
    <t>DN710UPVC 实壁管过路</t>
  </si>
  <si>
    <t>加钢套管DN+100</t>
  </si>
  <si>
    <t>DN630UPVC 实壁管过路</t>
  </si>
  <si>
    <t>(7)</t>
  </si>
  <si>
    <t>DN400UPVC 实壁管过路</t>
  </si>
  <si>
    <t>(8)</t>
  </si>
  <si>
    <t>管道配件</t>
  </si>
  <si>
    <t>(9)</t>
  </si>
  <si>
    <t>灌水明渠</t>
  </si>
  <si>
    <t>预制H-700梯形槽口宽0.7m，深0.7m，50厚碎石+50厚素砼垫层，压顶</t>
  </si>
  <si>
    <t>(10)</t>
  </si>
  <si>
    <t>灌水口</t>
  </si>
  <si>
    <t>(11)</t>
  </si>
  <si>
    <t>给水栓</t>
  </si>
  <si>
    <t>DN160给水栓</t>
  </si>
  <si>
    <t>(12)</t>
  </si>
  <si>
    <t>分水井</t>
  </si>
  <si>
    <t>钢砼井(净空1.00m*1.10m*3.12m)含启闭机、钢闸门（1套）</t>
  </si>
  <si>
    <t>(13)</t>
  </si>
  <si>
    <t>DN710 倒虹吸 PE 管</t>
  </si>
  <si>
    <t>(14)</t>
  </si>
  <si>
    <t>DN630 倒虹吸 PE 管</t>
  </si>
  <si>
    <t>(15)</t>
  </si>
  <si>
    <t>DN400 倒虹吸 PE 管</t>
  </si>
  <si>
    <t>(16)</t>
  </si>
  <si>
    <t>倒虹吸窨井（管径≥500）</t>
  </si>
  <si>
    <t>砖砌井(净空0.80m*0.80m*2.8m)</t>
  </si>
  <si>
    <t>(17)</t>
  </si>
  <si>
    <t>倒虹吸窨井（管径＜500）</t>
  </si>
  <si>
    <t>排水工程</t>
  </si>
  <si>
    <t>排水明沟</t>
  </si>
  <si>
    <t>田间排水口</t>
  </si>
  <si>
    <t>结构同田间进水口</t>
  </si>
  <si>
    <t>穿路涵管</t>
  </si>
  <si>
    <t>φ400钢筋砼管4.5m,两侧设砖砌挡墙</t>
  </si>
  <si>
    <t>排水沟入河口</t>
  </si>
  <si>
    <t>DN400HDPE管4.0m,砖砌挡墙，闸门</t>
  </si>
  <si>
    <t>农机下田坡道</t>
  </si>
  <si>
    <t>15cm厚C30砼（含钢筋）、10cm碎石、夯实路基</t>
  </si>
  <si>
    <t>道路修复（管道过路）</t>
  </si>
  <si>
    <t>道路翻建</t>
  </si>
  <si>
    <t>15cm厚C30砼、20cm碎石、现状路基</t>
  </si>
  <si>
    <t>农业自动化系统</t>
  </si>
  <si>
    <t>套</t>
  </si>
  <si>
    <t>专家意见取消。农发中心意见，此项工程暂时保留</t>
  </si>
  <si>
    <r>
      <rPr>
        <sz val="10"/>
        <rFont val="宋体"/>
        <charset val="134"/>
      </rPr>
      <t>m</t>
    </r>
    <r>
      <rPr>
        <vertAlign val="superscript"/>
        <sz val="10"/>
        <rFont val="宋体"/>
        <charset val="134"/>
      </rPr>
      <t>3</t>
    </r>
  </si>
  <si>
    <r>
      <rPr>
        <sz val="10"/>
        <color rgb="FFFF0000"/>
        <rFont val="宋体"/>
        <charset val="134"/>
      </rPr>
      <t>m</t>
    </r>
    <r>
      <rPr>
        <vertAlign val="superscript"/>
        <sz val="10"/>
        <color rgb="FFFF0000"/>
        <rFont val="宋体"/>
        <charset val="134"/>
      </rPr>
      <t>3</t>
    </r>
  </si>
  <si>
    <t>单价合理，工程量需要进一步提供详实资料进行核实，审定暂列。</t>
  </si>
  <si>
    <t>修缮灌溉泵站</t>
  </si>
  <si>
    <t>共8台泵,350ZLK-3.0 流量0.25m3/S\功率13KW</t>
  </si>
  <si>
    <t>翻建灌溉泵站（单泵）</t>
  </si>
  <si>
    <t>单泵,350ZLK-3.0 流量0.25m3/S\功率13KW</t>
  </si>
  <si>
    <t>建筑面积34.47m2</t>
  </si>
  <si>
    <t>灌溉系统</t>
  </si>
  <si>
    <t>翻建干渠分水井</t>
  </si>
  <si>
    <t>预制钢砼井(净空1.8m*2.0m*1.9m)</t>
  </si>
  <si>
    <t>翻建矩形干渠</t>
  </si>
  <si>
    <t>钢砼渠（口宽1.0m,深0.9m)</t>
  </si>
  <si>
    <t>翻建干渠过路涵</t>
  </si>
  <si>
    <t>预制钢砼管DN800长8m;钢砼挡墙长1.70m</t>
  </si>
  <si>
    <t>翻建A型支渠进水涵</t>
  </si>
  <si>
    <t>预制钢砼管DN450长8m;2座预制钢砼井</t>
  </si>
  <si>
    <t>预制井价格偏高</t>
  </si>
  <si>
    <t>翻建B型支渠进水涵</t>
  </si>
  <si>
    <t>预制钢砼管DN450长20m;3座预制钢砼井</t>
  </si>
  <si>
    <t>翻建Ⅰ型梯形支渠</t>
  </si>
  <si>
    <t>梯形渠（现浇素砼） 槽口宽0.9m，深0.8m，壁厚50mm</t>
  </si>
  <si>
    <t>翻建Ⅱ型梯形支渠</t>
  </si>
  <si>
    <t>梯形渠（现浇素砼） 槽口宽0.775m，深0.8m，壁厚50mm</t>
  </si>
  <si>
    <t>新建支渠田间进水口</t>
  </si>
  <si>
    <t>组</t>
  </si>
  <si>
    <t>预制钢砼管DN200长2m,双侧进水</t>
  </si>
  <si>
    <t>预制构件价格偏高，管道量超1m</t>
  </si>
  <si>
    <t>新建支渠退水涵</t>
  </si>
  <si>
    <t>预制钢砼管DN600长30m,1座钢砼井，钢砼挡墙长4m</t>
  </si>
  <si>
    <t>排水系统</t>
  </si>
  <si>
    <t>翻建A型排沟过路涵</t>
  </si>
  <si>
    <t>预制钢砼方涵,涵洞0.55m*0.55m,长12m</t>
  </si>
  <si>
    <t>预制方涵价格偏高</t>
  </si>
  <si>
    <t>翻建B型排沟过路涵</t>
  </si>
  <si>
    <t>预制钢砼方涵,涵洞0.55m*0.55m,长8m</t>
  </si>
  <si>
    <t>新建田间退水口</t>
  </si>
  <si>
    <t>预制钢砼管DN200长1m,砼护坡</t>
  </si>
  <si>
    <t>预制构件价格偏高，管道量超0.5m</t>
  </si>
  <si>
    <t>新建4m宽混凝土道路</t>
  </si>
  <si>
    <r>
      <rPr>
        <sz val="10"/>
        <rFont val="宋体"/>
        <charset val="134"/>
      </rPr>
      <t>m</t>
    </r>
    <r>
      <rPr>
        <vertAlign val="superscript"/>
        <sz val="10"/>
        <rFont val="宋体"/>
        <charset val="134"/>
      </rPr>
      <t>2</t>
    </r>
  </si>
  <si>
    <t>18cm厚C30砼、20cm碎石、夯实路基</t>
  </si>
  <si>
    <t>新建3m宽混凝土道路</t>
  </si>
  <si>
    <t>翻挖路面\20cm厚C30砼、20cm碎石、夯实路基</t>
  </si>
  <si>
    <t>农电线路（泵站外接电）</t>
  </si>
  <si>
    <t>米</t>
  </si>
  <si>
    <t>电线杆（9米长）</t>
  </si>
  <si>
    <t>根</t>
  </si>
  <si>
    <t>翻建仓库</t>
  </si>
  <si>
    <t>翻建晒场</t>
  </si>
  <si>
    <t>田埂修筑</t>
  </si>
  <si>
    <t>灌溉泵站(出水池加高)</t>
  </si>
  <si>
    <t>单泵,调价原水泵叶片角度，出水池加高</t>
  </si>
  <si>
    <t>双泵,调价原水泵叶片角度，出水池加高</t>
  </si>
  <si>
    <t>DN315UPVC 实壁管</t>
  </si>
  <si>
    <t>DN315UPVC 实壁管过路</t>
  </si>
  <si>
    <t>分水井-A</t>
  </si>
  <si>
    <t>分水井-B</t>
  </si>
  <si>
    <t>钢砼井(净空1.00m*1.10m*3.12m)含启闭机、钢闸门（2套）</t>
  </si>
  <si>
    <t>倒虹吸(DN710)</t>
  </si>
  <si>
    <t>倒虹吸(DN630)</t>
  </si>
  <si>
    <t>倒虹吸(DN400)</t>
  </si>
  <si>
    <t>倒虹吸(DN315)</t>
  </si>
  <si>
    <t>倒虹吸窨井（管径 710）</t>
  </si>
  <si>
    <t>倒虹吸窨井（管径 630）</t>
  </si>
  <si>
    <t>倒虹吸窨井（管径 400）</t>
  </si>
  <si>
    <t>倒虹吸窨井（管径 315）</t>
  </si>
  <si>
    <t>4.0m 宽主干道</t>
  </si>
  <si>
    <t>18cm厚C30砼、15cm碎石、夯实路基</t>
  </si>
  <si>
    <t>2.5m 宽水泥路</t>
  </si>
  <si>
    <t>面积2.8m*4.0m，15cm厚C30砼（含钢筋）、10cm碎石、夯实路基</t>
  </si>
  <si>
    <t>新建泵站</t>
  </si>
  <si>
    <r>
      <rPr>
        <sz val="10"/>
        <color rgb="FFFF0000"/>
        <rFont val="宋体"/>
        <charset val="134"/>
      </rPr>
      <t>泵房建筑面积15.98m</t>
    </r>
    <r>
      <rPr>
        <vertAlign val="superscript"/>
        <sz val="10"/>
        <color rgb="FFFF0000"/>
        <rFont val="宋体"/>
        <charset val="134"/>
      </rPr>
      <t>2</t>
    </r>
  </si>
  <si>
    <r>
      <rPr>
        <sz val="10"/>
        <color rgb="FFFF0000"/>
        <rFont val="宋体"/>
        <charset val="134"/>
      </rPr>
      <t>300HLD-7A,流量0.21m</t>
    </r>
    <r>
      <rPr>
        <vertAlign val="superscript"/>
        <sz val="10"/>
        <color rgb="FFFF0000"/>
        <rFont val="宋体"/>
        <charset val="134"/>
      </rPr>
      <t>3</t>
    </r>
    <r>
      <rPr>
        <sz val="10"/>
        <color rgb="FFFF0000"/>
        <rFont val="宋体"/>
        <charset val="134"/>
      </rPr>
      <t>/S,功率22KW</t>
    </r>
  </si>
  <si>
    <t>施工围堰（土围堰）</t>
  </si>
  <si>
    <t>施工围堰（钢管桩围堰）</t>
  </si>
  <si>
    <t>灌溉管道 DN200</t>
  </si>
  <si>
    <t>管顶覆土700mm,作业面宽200mm,100mm厚砂垫层</t>
  </si>
  <si>
    <t>灌溉管道 DN400</t>
  </si>
  <si>
    <t>灌溉管道 DN400 过路</t>
  </si>
  <si>
    <t>灌溉管道 DN630</t>
  </si>
  <si>
    <t>灌溉管道 DN630 过路</t>
  </si>
  <si>
    <t>肥料 DN160</t>
  </si>
  <si>
    <t>肥料 DN160 过路</t>
  </si>
  <si>
    <t>肥料 DN200</t>
  </si>
  <si>
    <t>肥料 DN200 过路</t>
  </si>
  <si>
    <t>管道三通、四通等配件</t>
  </si>
  <si>
    <t>闸阀井</t>
  </si>
  <si>
    <t>钢砼井1.89*1.89*1.33（含闸阀）</t>
  </si>
  <si>
    <t>报审概算书立项错误</t>
  </si>
  <si>
    <t>DN400UPVC管约8m,田间排水口价格贵？按价格参考表是230元每个</t>
  </si>
  <si>
    <t>机耕道破损修复(2.5m)</t>
  </si>
  <si>
    <t>20cm厚C30砼、原路基破损路面凿平、清理</t>
  </si>
  <si>
    <t>机耕道(管道过路)修复(2.5m)</t>
  </si>
  <si>
    <t>20cm厚C30砼、20cm碎石、夯实路基</t>
  </si>
  <si>
    <t>导线</t>
  </si>
  <si>
    <t>直线水泥杆</t>
  </si>
  <si>
    <t>直线 T 接水泥杆</t>
  </si>
  <si>
    <t>带拉线终端水泥杆</t>
  </si>
  <si>
    <t>四线横担</t>
  </si>
  <si>
    <t>低压绝缘子</t>
  </si>
  <si>
    <t>低压绝缘子耐张串</t>
  </si>
  <si>
    <t>线夹金具</t>
  </si>
  <si>
    <t>联板</t>
  </si>
  <si>
    <t>拉线</t>
  </si>
  <si>
    <t>直埋式基础</t>
  </si>
  <si>
    <t>接地装置 热镀锌扁钢 50×5</t>
  </si>
  <si>
    <t>接地装置 热镀锌角钢∠50×5×2500</t>
  </si>
  <si>
    <t>工程测量费</t>
  </si>
  <si>
    <t>此项内容包含在勘察费内，不再重复计费。</t>
  </si>
  <si>
    <t>新建泵站（单泵）</t>
  </si>
  <si>
    <t>单泵</t>
  </si>
  <si>
    <r>
      <rPr>
        <sz val="10"/>
        <color rgb="FFFF0000"/>
        <rFont val="宋体"/>
        <charset val="134"/>
      </rPr>
      <t>泵房建筑面积39.32m</t>
    </r>
    <r>
      <rPr>
        <vertAlign val="superscript"/>
        <sz val="10"/>
        <color rgb="FFFF0000"/>
        <rFont val="宋体"/>
        <charset val="134"/>
      </rPr>
      <t>2</t>
    </r>
  </si>
  <si>
    <t>泵站设备（300HLD-7A）</t>
  </si>
  <si>
    <t>施工围堰（木桩围堰）</t>
  </si>
  <si>
    <t>施工围堰（草包围堰）</t>
  </si>
  <si>
    <t>简易泵站</t>
  </si>
  <si>
    <t>泵站设备（250WQ500-7）</t>
  </si>
  <si>
    <r>
      <rPr>
        <sz val="10"/>
        <color rgb="FFFF0000"/>
        <rFont val="宋体"/>
        <charset val="134"/>
      </rPr>
      <t>250WQ500-7,流量0.139m</t>
    </r>
    <r>
      <rPr>
        <vertAlign val="superscript"/>
        <sz val="10"/>
        <color rgb="FFFF0000"/>
        <rFont val="宋体"/>
        <charset val="134"/>
      </rPr>
      <t>3</t>
    </r>
    <r>
      <rPr>
        <sz val="10"/>
        <color rgb="FFFF0000"/>
        <rFont val="宋体"/>
        <charset val="134"/>
      </rPr>
      <t>/S,功率18.5KW</t>
    </r>
  </si>
  <si>
    <t>新建泵站（双泵）</t>
  </si>
  <si>
    <t>De630UPVC管</t>
  </si>
  <si>
    <t>De500UPVC管</t>
  </si>
  <si>
    <t>De400UPVC管</t>
  </si>
  <si>
    <t>De315UPVC管</t>
  </si>
  <si>
    <t>De250UPVC管</t>
  </si>
  <si>
    <t>De160UPVC管</t>
  </si>
  <si>
    <t>De630UPVC过路管（开槽）</t>
  </si>
  <si>
    <t>De500UPVC过路管（开槽）</t>
  </si>
  <si>
    <t>De400UPVC过路管（开槽）</t>
  </si>
  <si>
    <t>De315UPVC过路管（开槽）</t>
  </si>
  <si>
    <t>De250UPVC过路管（开槽）</t>
  </si>
  <si>
    <t>De160UPVC过路管（开槽）</t>
  </si>
  <si>
    <t>De400阀门井（含电动蝶阀）</t>
  </si>
  <si>
    <t>混凝土井(净空0.80m*0.815m*1.65m)</t>
  </si>
  <si>
    <t>De315阀门井（含电动蝶阀）</t>
  </si>
  <si>
    <t>De250阀门井（含电动蝶阀）</t>
  </si>
  <si>
    <t>De250阀门井（含手动蝶阀）</t>
  </si>
  <si>
    <t>砖砌井(净空0.80m*1.00m*1.40m)</t>
  </si>
  <si>
    <t>排水DN400HDPE波纹管</t>
  </si>
  <si>
    <t>田间出水口（稻田、麦田合一）</t>
  </si>
  <si>
    <t>稻田和麦田埋设管道高度不一,采用0.8m长 De150UPVC双管</t>
  </si>
  <si>
    <t>新建3.0m宽混凝土道路</t>
  </si>
  <si>
    <t>㎡</t>
  </si>
  <si>
    <t>新建2.5m宽混凝土道路</t>
  </si>
  <si>
    <t>道路修复（管道过路、部分破损）</t>
  </si>
  <si>
    <t>新建管涵</t>
  </si>
  <si>
    <t>600预制砼管道，两侧设排水口</t>
  </si>
  <si>
    <t>方涵改造</t>
  </si>
  <si>
    <t>砖砌挡墙0.45*0.36*2.10*2</t>
  </si>
  <si>
    <t>下田坡道</t>
  </si>
  <si>
    <t>下田坡道3m*4m（15cm厚C30砼、15cm碎石、含管道砼外包)）</t>
  </si>
  <si>
    <t>低压线路（双泵）</t>
  </si>
  <si>
    <t>附件1：</t>
  </si>
  <si>
    <t>金山区亭林镇亭西村粮田建设项目投资明细表</t>
  </si>
  <si>
    <t>投资明细内容</t>
  </si>
  <si>
    <t>改造灌溉泵站</t>
  </si>
  <si>
    <t>灌溉工程</t>
  </si>
  <si>
    <t>管件、弯头镇墩</t>
  </si>
  <si>
    <t>De160非开挖穿路管</t>
  </si>
  <si>
    <t>De250非开挖穿路管</t>
  </si>
  <si>
    <t>De315非开挖穿路管</t>
  </si>
  <si>
    <t>De400非开挖穿路管</t>
  </si>
  <si>
    <t>De500非开挖穿路管</t>
  </si>
  <si>
    <t>PE倒虹管（牵引）DN500SDR17</t>
  </si>
  <si>
    <t>De500倒虹吸 窨井</t>
  </si>
  <si>
    <t>PE倒虹管（牵引）DN400SDR17</t>
  </si>
  <si>
    <t>De400倒虹吸 窨井</t>
  </si>
  <si>
    <t>PE倒虹管（牵引）DN315SDR17</t>
  </si>
  <si>
    <t>De315倒虹吸 窨井</t>
  </si>
  <si>
    <t>(18)</t>
  </si>
  <si>
    <t>阀门井 De500 手动蝶阀</t>
  </si>
  <si>
    <t>(19)</t>
  </si>
  <si>
    <t>阀门井 De400 手动蝶阀</t>
  </si>
  <si>
    <t>(20)</t>
  </si>
  <si>
    <t>阀门井 De315 手动蝶阀</t>
  </si>
  <si>
    <t>(21)</t>
  </si>
  <si>
    <t>阀门井 De250 手动蝶阀</t>
  </si>
  <si>
    <t>(22)</t>
  </si>
  <si>
    <t>处</t>
  </si>
  <si>
    <t>0.7m 梯形渠道 定型产品</t>
  </si>
  <si>
    <t>0.9m 梯形渠道 定型产品</t>
  </si>
  <si>
    <t>排水沟过道板</t>
  </si>
  <si>
    <t>排水沟过路管</t>
  </si>
  <si>
    <t>入河排水口</t>
  </si>
  <si>
    <t>入河排水口（管道DN500HDPE管）</t>
  </si>
  <si>
    <t>入河排水口（管道DN400HDPE管）</t>
  </si>
  <si>
    <t>新建2.5m宽泥结石道路</t>
  </si>
  <si>
    <t>新建3.0m宽泥结石道路</t>
  </si>
  <si>
    <t>新建2.5m宽砼道路</t>
  </si>
  <si>
    <t>新建3.0m宽砼道路</t>
  </si>
  <si>
    <t>新建4.0m宽砼道路</t>
  </si>
  <si>
    <t>道路修复</t>
  </si>
  <si>
    <t>泥结石下田坡道(含管道砼外包)</t>
  </si>
  <si>
    <t>测绘费</t>
  </si>
  <si>
    <t>标识标牌</t>
  </si>
  <si>
    <t>工程监理费</t>
  </si>
  <si>
    <t>附件2：</t>
  </si>
  <si>
    <t>金山区上海湾区高新区立新村粮田建设项目</t>
  </si>
  <si>
    <t>翻建灌溉泵站</t>
  </si>
  <si>
    <t>横泾泵站（单泵）</t>
  </si>
  <si>
    <t>①</t>
  </si>
  <si>
    <t>泵站结构</t>
  </si>
  <si>
    <t>泵房</t>
  </si>
  <si>
    <t>②</t>
  </si>
  <si>
    <t>③</t>
  </si>
  <si>
    <t>五组泵站改造（单泵）</t>
  </si>
  <si>
    <t>泵房改造</t>
  </si>
  <si>
    <t>横泾村南泵站改造（单泵）</t>
  </si>
  <si>
    <t>翻建出水池</t>
  </si>
  <si>
    <t>地下渠道DN630UPVC直壁管</t>
  </si>
  <si>
    <t>地下渠道DN500UPVC直壁管</t>
  </si>
  <si>
    <t>地下渠道DN500拖拉管</t>
  </si>
  <si>
    <t>地下渠道DN400UPVC直壁管</t>
  </si>
  <si>
    <t>地下渠道检查井</t>
  </si>
  <si>
    <t>DN630PE拖拉管倒虹吸</t>
  </si>
  <si>
    <t>DN500PE拖拉管倒虹吸</t>
  </si>
  <si>
    <t>倒虹吸窨井</t>
  </si>
  <si>
    <t>DN630UPVC直壁管4米路穿路管（开槽埋管）</t>
  </si>
  <si>
    <t>DN500UPVC直壁管4米路穿路管（开槽埋管）</t>
  </si>
  <si>
    <t>DN400UPVC直壁管4米路穿路管（开槽埋管）</t>
  </si>
  <si>
    <t>A型放水口</t>
  </si>
  <si>
    <t>B型放水口</t>
  </si>
  <si>
    <t>C型放水口</t>
  </si>
  <si>
    <t>衬砌明渠0.9m宽</t>
  </si>
  <si>
    <t>排水明沟0.9m宽</t>
  </si>
  <si>
    <t>田间放水口</t>
  </si>
  <si>
    <t>A型过路管</t>
  </si>
  <si>
    <t>B型过路管</t>
  </si>
  <si>
    <t>B型过路管窨井</t>
  </si>
  <si>
    <t>下田坡道φ600钢筋砼管</t>
  </si>
  <si>
    <t>明沟入河口</t>
  </si>
  <si>
    <t>3.0m生产路</t>
  </si>
  <si>
    <t>3.0m生产路（无路基）</t>
  </si>
  <si>
    <t>明渠过路管道路修复（4米路）</t>
  </si>
  <si>
    <t>穿路管道路修复（4米路）</t>
  </si>
  <si>
    <t>A型放水口道路修复（2.5米路）</t>
  </si>
  <si>
    <t>B型放水口道路修复（3米路）</t>
  </si>
  <si>
    <t>低压输电线路（泵站）</t>
  </si>
  <si>
    <t>标示标牌</t>
  </si>
  <si>
    <t xml:space="preserve"> </t>
  </si>
  <si>
    <t>附件3：</t>
  </si>
  <si>
    <t>金山区吕巷镇颜圩村粮田建设项目投资明细表</t>
  </si>
  <si>
    <t>DN630PVC-U管</t>
  </si>
  <si>
    <t>DN500PVC-U管</t>
  </si>
  <si>
    <t>DN355PVC-U管</t>
  </si>
  <si>
    <t>DN315PVC-U管</t>
  </si>
  <si>
    <t>DN250PVC-U管</t>
  </si>
  <si>
    <t>管件</t>
  </si>
  <si>
    <t>DN630PVC-U过路管</t>
  </si>
  <si>
    <t>DN500PVC-U过路管</t>
  </si>
  <si>
    <t>DN355PVC-U过路管</t>
  </si>
  <si>
    <t>DN315PVC-U过路管</t>
  </si>
  <si>
    <t>DN250PVC-U过路管</t>
  </si>
  <si>
    <t>出水口</t>
  </si>
  <si>
    <t>排气井</t>
  </si>
  <si>
    <t>dn630倒虹吸（拖拉管）PE100
0.8MPa</t>
  </si>
  <si>
    <t>dn500倒虹吸（拖拉管）PE100
0.8MPa</t>
  </si>
  <si>
    <t>dn355倒虹吸（开槽埋管）PE100
0.8MPa</t>
  </si>
  <si>
    <t>窨井1000*10001.5m</t>
  </si>
  <si>
    <t>窨井1000*10001.2m</t>
  </si>
  <si>
    <t>窨井600*6001.5m</t>
  </si>
  <si>
    <t>分水井1710*1880*3900</t>
  </si>
  <si>
    <t>排水沟840*950mm</t>
  </si>
  <si>
    <t>过沟板</t>
  </si>
  <si>
    <t>排水涵</t>
  </si>
  <si>
    <t>过路涵</t>
  </si>
  <si>
    <t>墒沟接排水沟波纹管</t>
  </si>
  <si>
    <t>2.5m机耕路</t>
  </si>
  <si>
    <t>坡道</t>
  </si>
  <si>
    <t>低压输电线路</t>
  </si>
  <si>
    <t>配电箱（柜）</t>
  </si>
  <si>
    <t>电线杆</t>
  </si>
  <si>
    <t>电线杆（13米长）</t>
  </si>
  <si>
    <t>标示标牌费</t>
  </si>
  <si>
    <t>附件4：</t>
  </si>
  <si>
    <t>金山区枫泾镇菖梧村粮田建设项目投资明细表</t>
  </si>
  <si>
    <t>泵站设备（250HLD-6.5A）</t>
  </si>
  <si>
    <t>改造灌溉泵站（单泵）</t>
  </si>
  <si>
    <t>泵站设备（300HW-8）</t>
  </si>
  <si>
    <t>灌溉管网</t>
  </si>
  <si>
    <t>田间排水口（稻田、麦田合一）</t>
  </si>
  <si>
    <t>入河排水口（两侧护砌）</t>
  </si>
  <si>
    <t>入河排水口围堰</t>
  </si>
  <si>
    <t>道路修复(管道过路、部分破损)</t>
  </si>
  <si>
    <t>砼下田坡道(含管道砼外包)</t>
  </si>
  <si>
    <t>附件5</t>
  </si>
  <si>
    <t>金山区朱泾镇万联村粮田建设项目投资明细表</t>
  </si>
  <si>
    <t>灌溉泵站</t>
  </si>
  <si>
    <t>新建灌溉泵站(单泵)</t>
  </si>
  <si>
    <t>改建排涝泵站</t>
  </si>
  <si>
    <t>PVC-U管DN500</t>
  </si>
  <si>
    <t>PVC-U管DN400</t>
  </si>
  <si>
    <t>PVC-U管DN315</t>
  </si>
  <si>
    <t>PVC-U管DN250</t>
  </si>
  <si>
    <t>PVC-U管DN160</t>
  </si>
  <si>
    <t>闸阀井1400*1200</t>
  </si>
  <si>
    <t>闸阀井800*800</t>
  </si>
  <si>
    <t>泄水井</t>
  </si>
  <si>
    <t>DN500UPVC管过路</t>
  </si>
  <si>
    <t>DN400UPVC管过路</t>
  </si>
  <si>
    <t>DN315UPVC管过路</t>
  </si>
  <si>
    <t>DN250UPVC管过路</t>
  </si>
  <si>
    <t>DN500倒虹吸PE管（拖拉管）</t>
  </si>
  <si>
    <t>排水设施</t>
  </si>
  <si>
    <t>排水沟（0.8m*0.8m）</t>
  </si>
  <si>
    <t>块</t>
  </si>
  <si>
    <t>穿路涵洞口宽1.5m*1.0m</t>
  </si>
  <si>
    <t>新建3.0宽砼道路</t>
  </si>
  <si>
    <t>扩建砼道路</t>
  </si>
  <si>
    <t>下田坡道（含包管砼）</t>
  </si>
  <si>
    <t>道路修复（管道及排水沟过路）</t>
  </si>
  <si>
    <t>配电箱</t>
  </si>
  <si>
    <t>电线杆9.0m长</t>
  </si>
  <si>
    <t>附件6</t>
  </si>
  <si>
    <t>金山区漕泾镇护塘村粮田建设项目投资明细表</t>
  </si>
  <si>
    <t>改建灌溉泵站（单泵）</t>
  </si>
  <si>
    <t>围堰</t>
  </si>
  <si>
    <t>PE倒虹管（牵引）DN250SDR17</t>
  </si>
  <si>
    <t>De250倒虹吸 窨井</t>
  </si>
  <si>
    <t>过道板</t>
  </si>
  <si>
    <t>砼下田坡道（含管道砼外包）</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</si>
  <si>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</si>
  <si>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</si>
  <si>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</si>
  <si>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单价（元）</t>
  </si>
  <si>
    <t>合计（万元）</t>
  </si>
  <si>
    <t>设施建设</t>
  </si>
  <si>
    <t>土地平整及修复</t>
  </si>
  <si>
    <t>灌溉与排水设施</t>
  </si>
  <si>
    <t>灌溉泵站（含水肥一体化）</t>
  </si>
  <si>
    <t>沼液调节池</t>
  </si>
  <si>
    <t>自动化控制</t>
  </si>
  <si>
    <t>（1）</t>
  </si>
  <si>
    <t>U-PVC 管DN600</t>
  </si>
  <si>
    <t>（2）</t>
  </si>
  <si>
    <t>U-PVC 管DN400</t>
  </si>
  <si>
    <t>（3）</t>
  </si>
  <si>
    <t>U-PVC 管DN315</t>
  </si>
  <si>
    <t>（4）</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</si>
  <si>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</si>
  <si>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</si>
  <si>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</si>
  <si>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</si>
  <si>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</si>
  <si>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</si>
  <si>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</si>
  <si>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</si>
  <si>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</si>
  <si>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</si>
  <si>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</si>
  <si>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</si>
  <si>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</si>
  <si>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</si>
  <si>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</si>
  <si>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</si>
  <si>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</si>
  <si>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</si>
  <si>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</si>
  <si>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</si>
  <si>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</si>
  <si>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</si>
  <si>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</si>
  <si>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</si>
  <si>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</si>
  <si>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</si>
  <si>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</si>
  <si>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</si>
  <si>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</si>
  <si>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</si>
  <si>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</si>
  <si>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</si>
  <si>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农田输配电设施</t>
  </si>
  <si>
    <t>线路</t>
  </si>
  <si>
    <t>低压变电柜改造</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</si>
  <si>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</si>
  <si>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</si>
  <si>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</si>
  <si>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</si>
  <si>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</si>
  <si>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</si>
  <si>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</si>
  <si>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</si>
  <si>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</si>
  <si>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</si>
  <si>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</si>
  <si>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工程量清单编制</t>
  </si>
  <si>
    <r>
      <rPr>
        <sz val="9"/>
        <rFont val="Times New Roman"/>
        <charset val="134"/>
      </rPr>
      <t>(</t>
    </r>
    <r>
      <rPr>
        <sz val="9"/>
        <rFont val="宋体"/>
        <charset val="134"/>
      </rPr>
      <t>三)</t>
    </r>
  </si>
  <si>
    <t>监理费</t>
  </si>
  <si>
    <t>施工建设监理费</t>
  </si>
  <si>
    <r>
      <rPr>
        <sz val="9"/>
        <rFont val="Times New Roman"/>
        <charset val="134"/>
      </rPr>
      <t>(</t>
    </r>
    <r>
      <rPr>
        <sz val="9"/>
        <rFont val="宋体"/>
        <charset val="134"/>
      </rPr>
      <t>四)</t>
    </r>
  </si>
  <si>
    <t>总体设计费</t>
  </si>
  <si>
    <t>基本设计费</t>
  </si>
  <si>
    <t>施工图预算编制费</t>
  </si>
  <si>
    <r>
      <rPr>
        <sz val="9"/>
        <rFont val="Times New Roman"/>
        <charset val="134"/>
      </rPr>
      <t>(</t>
    </r>
    <r>
      <rPr>
        <sz val="9"/>
        <rFont val="宋体"/>
        <charset val="134"/>
      </rPr>
      <t>五)</t>
    </r>
  </si>
  <si>
    <t>四</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</si>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</sst>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占&quot;&quot;总&quot;&quot;投&quot;&quot;资&quot;&quot;的&quot;0.00%"/>
    <numFmt numFmtId="177" formatCode="0.000000000000_ "/>
    <numFmt numFmtId="178" formatCode="0.00_ "/>
    <numFmt numFmtId="179" formatCode="0_ "/>
    <numFmt numFmtId="180" formatCode="0.00_);[Red]\(0.00\)"/>
    <numFmt numFmtId="181" formatCode="0.0%"/>
    <numFmt numFmtId="182" formatCode="0.000%"/>
    <numFmt numFmtId="183" formatCode="0.0000_ "/>
    <numFmt numFmtId="184" formatCode="0.00;[Red]0.00"/>
  </numFmts>
  <fonts count="72">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sz val="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12"/>
      <name val="宋体"/>
      <charset val="134"/>
    </font>
    <font>
      <b/>
      <sz val="9"/>
      <name val="宋体"/>
      <charset val="134"/>
    </font>
    <font>
      <b/>
      <sz val="14"/>
      <name val="仿宋"/>
      <charset val="134"/>
    </font>
    <font>
      <sz val="14"/>
      <name val="黑体"/>
      <charset val="134"/>
    </font>
    <font>
      <b/>
      <sz val="10"/>
      <name val="宋体"/>
      <charset val="134"/>
    </font>
    <font>
      <sz val="10"/>
      <name val="宋体"/>
      <charset val="134"/>
    </font>
    <font>
      <b/>
      <sz val="13"/>
      <name val="宋体"/>
      <charset val="134"/>
    </font>
    <font>
      <sz val="13"/>
      <name val="宋体"/>
      <charset val="134"/>
    </font>
    <font>
      <b/>
      <sz val="14"/>
      <color theme="1"/>
      <name val="仿宋"/>
      <charset val="134"/>
    </font>
    <font>
      <sz val="10"/>
      <name val="宋体"/>
      <charset val="134"/>
      <scheme val="minor"/>
    </font>
    <font>
      <b/>
      <sz val="10"/>
      <name val="宋体"/>
      <charset val="134"/>
      <scheme val="minor"/>
    </font>
    <font>
      <sz val="14"/>
      <color theme="1"/>
      <name val="黑体"/>
      <charset val="134"/>
    </font>
    <font>
      <b/>
      <sz val="10"/>
      <color theme="1"/>
      <name val="宋体"/>
      <charset val="134"/>
      <scheme val="minor"/>
    </font>
    <font>
      <sz val="10"/>
      <color theme="1"/>
      <name val="宋体"/>
      <charset val="134"/>
      <scheme val="minor"/>
    </font>
    <font>
      <b/>
      <sz val="10"/>
      <color theme="1"/>
      <name val="Times New Roman"/>
      <charset val="134"/>
    </font>
    <font>
      <b/>
      <sz val="16"/>
      <color theme="1"/>
      <name val="Times New Roman"/>
      <charset val="134"/>
    </font>
    <font>
      <sz val="14"/>
      <color theme="1"/>
      <name val="宋体"/>
      <charset val="134"/>
      <scheme val="minor"/>
    </font>
    <font>
      <sz val="10"/>
      <color rgb="FFFF0000"/>
      <name val="宋体"/>
      <charset val="134"/>
    </font>
    <font>
      <b/>
      <sz val="9"/>
      <color rgb="FFFF0000"/>
      <name val="宋体"/>
      <charset val="134"/>
    </font>
    <font>
      <b/>
      <sz val="10"/>
      <color rgb="FFFF0000"/>
      <name val="宋体"/>
      <charset val="134"/>
    </font>
    <font>
      <sz val="9"/>
      <color rgb="FFFF0000"/>
      <name val="宋体"/>
      <charset val="134"/>
    </font>
    <font>
      <i/>
      <sz val="10"/>
      <color rgb="FFFF0000"/>
      <name val="宋体"/>
      <charset val="134"/>
    </font>
    <font>
      <sz val="12"/>
      <color theme="1"/>
      <name val="宋体"/>
      <charset val="134"/>
    </font>
    <font>
      <b/>
      <sz val="9"/>
      <color theme="1"/>
      <name val="宋体"/>
      <charset val="134"/>
    </font>
    <font>
      <sz val="9"/>
      <color theme="1"/>
      <name val="宋体"/>
      <charset val="134"/>
    </font>
    <font>
      <b/>
      <sz val="12"/>
      <color theme="1"/>
      <name val="宋体"/>
      <charset val="134"/>
    </font>
    <font>
      <b/>
      <sz val="10"/>
      <color indexed="8"/>
      <name val="宋体"/>
      <charset val="134"/>
    </font>
    <font>
      <b/>
      <sz val="10"/>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b/>
      <sz val="18"/>
      <color theme="1"/>
      <name val="宋体"/>
      <charset val="134"/>
    </font>
    <font>
      <vertAlign val="superscript"/>
      <sz val="9"/>
      <color rgb="FF000000"/>
      <name val="Times New Roman"/>
      <charset val="134"/>
    </font>
    <font>
      <vertAlign val="superscript"/>
      <sz val="10"/>
      <name val="宋体"/>
      <charset val="134"/>
    </font>
    <font>
      <vertAlign val="superscript"/>
      <sz val="10"/>
      <color rgb="FFFF0000"/>
      <name val="宋体"/>
      <charset val="134"/>
    </font>
    <font>
      <sz val="9"/>
      <name val="宋体"/>
      <charset val="134"/>
    </font>
    <font>
      <sz val="9"/>
      <name val="Tahoma"/>
      <charset val="134"/>
    </font>
  </fonts>
  <fills count="38">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0" tint="-0.0499893185216834"/>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46" fillId="7" borderId="0" applyNumberFormat="0" applyBorder="0" applyAlignment="0" applyProtection="0">
      <alignment vertical="center"/>
    </xf>
    <xf numFmtId="0" fontId="47"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9" borderId="0" applyNumberFormat="0" applyBorder="0" applyAlignment="0" applyProtection="0">
      <alignment vertical="center"/>
    </xf>
    <xf numFmtId="0" fontId="48" fillId="10" borderId="0" applyNumberFormat="0" applyBorder="0" applyAlignment="0" applyProtection="0">
      <alignment vertical="center"/>
    </xf>
    <xf numFmtId="43" fontId="0" fillId="0" borderId="0" applyFont="0" applyFill="0" applyBorder="0" applyAlignment="0" applyProtection="0">
      <alignment vertical="center"/>
    </xf>
    <xf numFmtId="0" fontId="49" fillId="11"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0" fillId="12" borderId="12" applyNumberFormat="0" applyFont="0" applyAlignment="0" applyProtection="0">
      <alignment vertical="center"/>
    </xf>
    <xf numFmtId="0" fontId="49" fillId="13"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0" borderId="0">
      <alignment vertical="center"/>
    </xf>
    <xf numFmtId="0" fontId="55" fillId="0" borderId="0" applyNumberFormat="0" applyFill="0" applyBorder="0" applyAlignment="0" applyProtection="0">
      <alignment vertical="center"/>
    </xf>
    <xf numFmtId="0" fontId="56" fillId="0" borderId="13" applyNumberFormat="0" applyFill="0" applyAlignment="0" applyProtection="0">
      <alignment vertical="center"/>
    </xf>
    <xf numFmtId="0" fontId="57" fillId="0" borderId="13" applyNumberFormat="0" applyFill="0" applyAlignment="0" applyProtection="0">
      <alignment vertical="center"/>
    </xf>
    <xf numFmtId="0" fontId="49" fillId="14" borderId="0" applyNumberFormat="0" applyBorder="0" applyAlignment="0" applyProtection="0">
      <alignment vertical="center"/>
    </xf>
    <xf numFmtId="0" fontId="52" fillId="0" borderId="14" applyNumberFormat="0" applyFill="0" applyAlignment="0" applyProtection="0">
      <alignment vertical="center"/>
    </xf>
    <xf numFmtId="0" fontId="49" fillId="15" borderId="0" applyNumberFormat="0" applyBorder="0" applyAlignment="0" applyProtection="0">
      <alignment vertical="center"/>
    </xf>
    <xf numFmtId="0" fontId="58" fillId="16" borderId="15" applyNumberFormat="0" applyAlignment="0" applyProtection="0">
      <alignment vertical="center"/>
    </xf>
    <xf numFmtId="0" fontId="59" fillId="16" borderId="11" applyNumberFormat="0" applyAlignment="0" applyProtection="0">
      <alignment vertical="center"/>
    </xf>
    <xf numFmtId="0" fontId="60" fillId="17" borderId="16" applyNumberFormat="0" applyAlignment="0" applyProtection="0">
      <alignment vertical="center"/>
    </xf>
    <xf numFmtId="0" fontId="46" fillId="18" borderId="0" applyNumberFormat="0" applyBorder="0" applyAlignment="0" applyProtection="0">
      <alignment vertical="center"/>
    </xf>
    <xf numFmtId="0" fontId="49" fillId="19" borderId="0" applyNumberFormat="0" applyBorder="0" applyAlignment="0" applyProtection="0">
      <alignment vertical="center"/>
    </xf>
    <xf numFmtId="0" fontId="61" fillId="0" borderId="17" applyNumberFormat="0" applyFill="0" applyAlignment="0" applyProtection="0">
      <alignment vertical="center"/>
    </xf>
    <xf numFmtId="0" fontId="62" fillId="0" borderId="18" applyNumberFormat="0" applyFill="0" applyAlignment="0" applyProtection="0">
      <alignment vertical="center"/>
    </xf>
    <xf numFmtId="0" fontId="63" fillId="20" borderId="0" applyNumberFormat="0" applyBorder="0" applyAlignment="0" applyProtection="0">
      <alignment vertical="center"/>
    </xf>
    <xf numFmtId="0" fontId="64" fillId="21" borderId="0" applyNumberFormat="0" applyBorder="0" applyAlignment="0" applyProtection="0">
      <alignment vertical="center"/>
    </xf>
    <xf numFmtId="0" fontId="46" fillId="22" borderId="0" applyNumberFormat="0" applyBorder="0" applyAlignment="0" applyProtection="0">
      <alignment vertical="center"/>
    </xf>
    <xf numFmtId="0" fontId="49"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9" fillId="32" borderId="0" applyNumberFormat="0" applyBorder="0" applyAlignment="0" applyProtection="0">
      <alignment vertical="center"/>
    </xf>
    <xf numFmtId="0" fontId="16" fillId="0" borderId="0"/>
    <xf numFmtId="0" fontId="46"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16" fillId="0" borderId="0"/>
    <xf numFmtId="0" fontId="0" fillId="0" borderId="0">
      <alignment vertical="center"/>
    </xf>
    <xf numFmtId="0" fontId="46" fillId="36" borderId="0" applyNumberFormat="0" applyBorder="0" applyAlignment="0" applyProtection="0">
      <alignment vertical="center"/>
    </xf>
    <xf numFmtId="0" fontId="16" fillId="0" borderId="0"/>
    <xf numFmtId="0" fontId="49" fillId="37" borderId="0" applyNumberFormat="0" applyBorder="0" applyAlignment="0" applyProtection="0">
      <alignment vertical="center"/>
    </xf>
    <xf numFmtId="0" fontId="16" fillId="0" borderId="0">
      <alignment vertical="center"/>
    </xf>
    <xf numFmtId="0" fontId="16" fillId="0" borderId="0"/>
    <xf numFmtId="0" fontId="16" fillId="0" borderId="0">
      <alignment vertical="center"/>
    </xf>
    <xf numFmtId="0" fontId="38" fillId="0" borderId="0"/>
    <xf numFmtId="0" fontId="16" fillId="0" borderId="0">
      <alignment vertical="center"/>
    </xf>
    <xf numFmtId="0" fontId="16" fillId="0" borderId="0"/>
    <xf numFmtId="0" fontId="65" fillId="0" borderId="0"/>
    <xf numFmtId="0" fontId="16" fillId="0" borderId="0">
      <alignment vertical="center"/>
    </xf>
    <xf numFmtId="0" fontId="16" fillId="0" borderId="0">
      <alignment vertical="center"/>
    </xf>
    <xf numFmtId="0" fontId="16" fillId="0" borderId="0"/>
  </cellStyleXfs>
  <cellXfs count="336">
    <xf numFmtId="0" fontId="0" fillId="0" borderId="0" xfId="0">
      <alignment vertical="center"/>
    </xf>
    <xf numFmtId="0" fontId="0" fillId="0" borderId="0" xfId="50" applyProtection="1">
      <alignment vertical="center"/>
      <protection locked="0"/>
    </xf>
    <xf numFmtId="0" fontId="0" fillId="0" borderId="1" xfId="50" applyBorder="1" applyAlignment="1" applyProtection="1">
      <alignment horizontal="center" vertical="center" wrapText="1"/>
      <protection locked="0"/>
    </xf>
    <xf numFmtId="0" fontId="1" fillId="0" borderId="2" xfId="50" applyFont="1" applyBorder="1" applyAlignment="1" applyProtection="1">
      <alignment horizontal="center" vertical="center" wrapText="1"/>
      <protection locked="0"/>
    </xf>
    <xf numFmtId="0" fontId="2" fillId="0" borderId="2" xfId="50" applyFont="1" applyBorder="1" applyAlignment="1">
      <alignment horizontal="center" vertical="center" wrapText="1"/>
    </xf>
    <xf numFmtId="0" fontId="1" fillId="0" borderId="3" xfId="50" applyFont="1" applyBorder="1" applyAlignment="1" applyProtection="1">
      <alignment horizontal="center" vertical="center" wrapText="1"/>
      <protection locked="0"/>
    </xf>
    <xf numFmtId="0" fontId="1" fillId="0" borderId="3" xfId="50" applyFont="1" applyBorder="1" applyAlignment="1" applyProtection="1">
      <alignment horizontal="left" vertical="center" wrapText="1"/>
      <protection locked="0"/>
    </xf>
    <xf numFmtId="0" fontId="1" fillId="0" borderId="4" xfId="50" applyFont="1" applyBorder="1" applyAlignment="1" applyProtection="1">
      <alignment horizontal="center" vertical="center" wrapText="1"/>
      <protection locked="0"/>
    </xf>
    <xf numFmtId="0" fontId="1" fillId="0" borderId="4" xfId="50" applyFont="1" applyBorder="1" applyAlignment="1" applyProtection="1">
      <alignment horizontal="left" vertical="center" wrapText="1"/>
      <protection locked="0"/>
    </xf>
    <xf numFmtId="0" fontId="1" fillId="2" borderId="5" xfId="50" applyFont="1" applyFill="1" applyBorder="1" applyAlignment="1" applyProtection="1">
      <alignment horizontal="center" vertical="center" wrapText="1"/>
      <protection locked="0"/>
    </xf>
    <xf numFmtId="0" fontId="1" fillId="2" borderId="6" xfId="50" applyFont="1" applyFill="1" applyBorder="1" applyAlignment="1" applyProtection="1">
      <alignment horizontal="center" vertical="center" wrapText="1"/>
      <protection locked="0"/>
    </xf>
    <xf numFmtId="0" fontId="2" fillId="3" borderId="2" xfId="50" applyFont="1" applyFill="1" applyBorder="1" applyAlignment="1">
      <alignment horizontal="center" vertical="center" wrapText="1"/>
    </xf>
    <xf numFmtId="0" fontId="1" fillId="0" borderId="2" xfId="50" applyFont="1" applyBorder="1" applyAlignment="1" applyProtection="1">
      <alignment horizontal="left" vertical="center" wrapText="1"/>
      <protection locked="0"/>
    </xf>
    <xf numFmtId="0" fontId="2" fillId="0" borderId="2" xfId="50" applyFont="1" applyBorder="1" applyAlignment="1" applyProtection="1">
      <alignment horizontal="left" vertical="center" wrapText="1"/>
      <protection locked="0"/>
    </xf>
    <xf numFmtId="0" fontId="1" fillId="0" borderId="7" xfId="50" applyFont="1" applyBorder="1" applyAlignment="1" applyProtection="1">
      <alignment horizontal="center" vertical="center" wrapText="1"/>
      <protection locked="0"/>
    </xf>
    <xf numFmtId="0" fontId="1" fillId="0" borderId="8" xfId="50" applyFont="1" applyBorder="1" applyAlignment="1" applyProtection="1">
      <alignment horizontal="center" vertical="center" wrapText="1"/>
      <protection locked="0"/>
    </xf>
    <xf numFmtId="0" fontId="2" fillId="0" borderId="3" xfId="50" applyFont="1" applyBorder="1" applyAlignment="1" applyProtection="1">
      <alignment horizontal="left" vertical="center" wrapText="1"/>
      <protection locked="0"/>
    </xf>
    <xf numFmtId="0" fontId="2" fillId="0" borderId="4" xfId="50" applyFont="1" applyBorder="1" applyAlignment="1" applyProtection="1">
      <alignment horizontal="left" vertical="center" wrapText="1"/>
      <protection locked="0"/>
    </xf>
    <xf numFmtId="2" fontId="1" fillId="2" borderId="5" xfId="50" applyNumberFormat="1" applyFont="1" applyFill="1" applyBorder="1" applyAlignment="1" applyProtection="1">
      <alignment horizontal="center" vertical="center" wrapText="1"/>
      <protection locked="0"/>
    </xf>
    <xf numFmtId="0" fontId="2" fillId="0" borderId="5" xfId="50" applyFont="1" applyBorder="1" applyAlignment="1">
      <alignment horizontal="center" vertical="center" wrapText="1"/>
    </xf>
    <xf numFmtId="0" fontId="2" fillId="0" borderId="9" xfId="50" applyFont="1" applyBorder="1" applyAlignment="1">
      <alignment horizontal="center" vertical="center" wrapText="1"/>
    </xf>
    <xf numFmtId="0" fontId="3" fillId="0" borderId="0" xfId="50" applyFont="1" applyAlignment="1" applyProtection="1">
      <alignment horizontal="left" vertical="center"/>
      <protection locked="0"/>
    </xf>
    <xf numFmtId="0" fontId="4" fillId="0" borderId="0" xfId="50" applyFont="1" applyAlignment="1" applyProtection="1">
      <alignment horizontal="left" vertical="center"/>
      <protection locked="0"/>
    </xf>
    <xf numFmtId="0" fontId="0" fillId="0" borderId="3" xfId="50" applyBorder="1" applyProtection="1">
      <alignment vertical="center"/>
      <protection locked="0"/>
    </xf>
    <xf numFmtId="0" fontId="2" fillId="0" borderId="4" xfId="50" applyFont="1" applyBorder="1" applyAlignment="1" applyProtection="1">
      <alignment horizontal="center" vertical="center" wrapText="1"/>
      <protection locked="0"/>
    </xf>
    <xf numFmtId="0" fontId="0" fillId="0" borderId="2" xfId="50" applyBorder="1">
      <alignment vertical="center"/>
    </xf>
    <xf numFmtId="0" fontId="0" fillId="0" borderId="2" xfId="50" applyBorder="1" applyProtection="1">
      <alignment vertical="center"/>
      <protection locked="0"/>
    </xf>
    <xf numFmtId="0" fontId="0" fillId="2" borderId="2" xfId="50" applyFill="1" applyBorder="1" applyProtection="1">
      <alignment vertical="center"/>
      <protection locked="0"/>
    </xf>
    <xf numFmtId="0" fontId="2" fillId="0" borderId="6" xfId="50" applyFont="1" applyBorder="1" applyAlignment="1">
      <alignment horizontal="center" vertical="center" wrapText="1"/>
    </xf>
    <xf numFmtId="0" fontId="5" fillId="0" borderId="2" xfId="50" applyFont="1" applyBorder="1" applyProtection="1">
      <alignment vertical="center"/>
      <protection locked="0"/>
    </xf>
    <xf numFmtId="0" fontId="6" fillId="0" borderId="0" xfId="0" applyFont="1">
      <alignment vertical="center"/>
    </xf>
    <xf numFmtId="0" fontId="7" fillId="0" borderId="1" xfId="0" applyFont="1" applyBorder="1" applyAlignment="1">
      <alignment horizontal="center" vertical="center"/>
    </xf>
    <xf numFmtId="0" fontId="6" fillId="0" borderId="2" xfId="0" applyFont="1" applyBorder="1" applyAlignment="1">
      <alignment horizontal="justify" vertical="center" wrapText="1"/>
    </xf>
    <xf numFmtId="178" fontId="6" fillId="0" borderId="2" xfId="0" applyNumberFormat="1" applyFont="1" applyBorder="1" applyAlignment="1">
      <alignment horizontal="justify" vertical="center" wrapText="1"/>
    </xf>
    <xf numFmtId="0" fontId="8" fillId="0" borderId="0" xfId="0" applyFont="1">
      <alignment vertical="center"/>
    </xf>
    <xf numFmtId="0" fontId="9" fillId="0" borderId="0" xfId="0" applyFont="1">
      <alignment vertical="center"/>
    </xf>
    <xf numFmtId="0" fontId="10" fillId="0" borderId="1"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Border="1" applyAlignment="1">
      <alignment horizontal="center" vertical="center"/>
    </xf>
    <xf numFmtId="178" fontId="9" fillId="0" borderId="2"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8" fillId="0" borderId="2" xfId="0" applyFont="1" applyBorder="1" applyAlignment="1">
      <alignment horizontal="left" vertical="center"/>
    </xf>
    <xf numFmtId="0" fontId="9" fillId="0" borderId="2" xfId="0" applyFont="1" applyBorder="1" applyAlignment="1">
      <alignment horizontal="left" vertical="center"/>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9" fillId="0" borderId="2" xfId="0" applyFont="1" applyBorder="1">
      <alignment vertical="center"/>
    </xf>
    <xf numFmtId="49" fontId="9" fillId="0" borderId="2" xfId="0" applyNumberFormat="1" applyFont="1" applyBorder="1" applyAlignment="1">
      <alignment horizontal="center" vertical="center"/>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5" fillId="0" borderId="2" xfId="0" applyFont="1" applyBorder="1">
      <alignment vertical="center"/>
    </xf>
    <xf numFmtId="0" fontId="6" fillId="0" borderId="2" xfId="63" applyFont="1" applyBorder="1" applyAlignment="1">
      <alignment vertical="center"/>
    </xf>
    <xf numFmtId="0" fontId="9" fillId="0" borderId="10" xfId="0" applyFont="1" applyBorder="1" applyAlignment="1">
      <alignment horizontal="center" vertical="center"/>
    </xf>
    <xf numFmtId="2" fontId="9" fillId="0" borderId="0" xfId="0" applyNumberFormat="1" applyFont="1">
      <alignment vertical="center"/>
    </xf>
    <xf numFmtId="178" fontId="9" fillId="4" borderId="0" xfId="0" applyNumberFormat="1" applyFont="1" applyFill="1">
      <alignment vertical="center"/>
    </xf>
    <xf numFmtId="2" fontId="9" fillId="4" borderId="0" xfId="0" applyNumberFormat="1" applyFont="1" applyFill="1">
      <alignment vertical="center"/>
    </xf>
    <xf numFmtId="178" fontId="8" fillId="4" borderId="0" xfId="0" applyNumberFormat="1" applyFont="1" applyFill="1">
      <alignment vertical="center"/>
    </xf>
    <xf numFmtId="2" fontId="8" fillId="4" borderId="0" xfId="0" applyNumberFormat="1" applyFont="1" applyFill="1">
      <alignment vertical="center"/>
    </xf>
    <xf numFmtId="0" fontId="8" fillId="0" borderId="0" xfId="0" applyFont="1" applyAlignment="1">
      <alignment horizontal="center" vertical="center"/>
    </xf>
    <xf numFmtId="0" fontId="9" fillId="0" borderId="0" xfId="0" applyFont="1" applyAlignment="1">
      <alignment horizontal="center" vertical="center"/>
    </xf>
    <xf numFmtId="178" fontId="9" fillId="0" borderId="0" xfId="0" applyNumberFormat="1" applyFont="1">
      <alignment vertical="center"/>
    </xf>
    <xf numFmtId="177" fontId="9" fillId="0" borderId="0" xfId="0" applyNumberFormat="1" applyFont="1">
      <alignment vertical="center"/>
    </xf>
    <xf numFmtId="0" fontId="16" fillId="0" borderId="0" xfId="0" applyFont="1">
      <alignment vertical="center"/>
    </xf>
    <xf numFmtId="0" fontId="17" fillId="0" borderId="0" xfId="0" applyFont="1">
      <alignment vertical="center"/>
    </xf>
    <xf numFmtId="49" fontId="6"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49" fontId="18" fillId="0" borderId="0" xfId="0" applyNumberFormat="1" applyFont="1">
      <alignment vertical="center"/>
    </xf>
    <xf numFmtId="49" fontId="19" fillId="0" borderId="0" xfId="0" applyNumberFormat="1" applyFont="1" applyAlignment="1">
      <alignment horizontal="center" vertical="center"/>
    </xf>
    <xf numFmtId="49"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178" fontId="20" fillId="0" borderId="2" xfId="0" applyNumberFormat="1" applyFont="1" applyBorder="1" applyAlignment="1">
      <alignment horizontal="center" vertical="center"/>
    </xf>
    <xf numFmtId="178" fontId="20" fillId="0" borderId="2" xfId="0" applyNumberFormat="1" applyFont="1" applyBorder="1" applyAlignment="1">
      <alignment horizontal="center" vertical="center" wrapText="1"/>
    </xf>
    <xf numFmtId="49" fontId="20" fillId="0" borderId="2" xfId="61" applyNumberFormat="1" applyFont="1" applyBorder="1" applyAlignment="1">
      <alignment horizontal="center" vertical="center"/>
    </xf>
    <xf numFmtId="0" fontId="20" fillId="0" borderId="2" xfId="61" applyFont="1" applyBorder="1" applyAlignment="1">
      <alignment horizontal="left" vertical="center"/>
    </xf>
    <xf numFmtId="178" fontId="20" fillId="0" borderId="2" xfId="18" applyNumberFormat="1" applyFont="1" applyBorder="1">
      <alignment vertical="center"/>
    </xf>
    <xf numFmtId="49" fontId="21" fillId="0" borderId="2" xfId="61" applyNumberFormat="1" applyFont="1" applyBorder="1" applyAlignment="1">
      <alignment horizontal="center" vertical="center"/>
    </xf>
    <xf numFmtId="0" fontId="21" fillId="0" borderId="2" xfId="61" applyFont="1" applyBorder="1" applyAlignment="1">
      <alignment horizontal="left" vertical="center"/>
    </xf>
    <xf numFmtId="0" fontId="21" fillId="0" borderId="2" xfId="18" applyFont="1" applyBorder="1" applyAlignment="1">
      <alignment horizontal="center" vertical="center" wrapText="1"/>
    </xf>
    <xf numFmtId="178" fontId="21" fillId="0" borderId="2" xfId="18" applyNumberFormat="1" applyFont="1" applyBorder="1" applyAlignment="1">
      <alignment horizontal="right" vertical="center"/>
    </xf>
    <xf numFmtId="178" fontId="21" fillId="0" borderId="2" xfId="18" applyNumberFormat="1" applyFont="1" applyBorder="1">
      <alignment vertical="center"/>
    </xf>
    <xf numFmtId="0" fontId="22" fillId="0" borderId="0" xfId="0" applyFont="1">
      <alignment vertical="center"/>
    </xf>
    <xf numFmtId="0" fontId="21" fillId="0" borderId="2" xfId="56" applyFont="1" applyBorder="1" applyAlignment="1">
      <alignment horizontal="center" vertical="center"/>
    </xf>
    <xf numFmtId="178" fontId="21" fillId="0" borderId="2" xfId="0" applyNumberFormat="1" applyFont="1" applyBorder="1" applyAlignment="1">
      <alignment horizontal="center" vertical="center"/>
    </xf>
    <xf numFmtId="179" fontId="21" fillId="0" borderId="2" xfId="18" applyNumberFormat="1" applyFont="1" applyBorder="1" applyAlignment="1">
      <alignment horizontal="right" vertical="center"/>
    </xf>
    <xf numFmtId="0" fontId="21" fillId="0" borderId="2" xfId="61" applyFont="1" applyBorder="1" applyAlignment="1">
      <alignment horizontal="left" vertical="center" indent="1"/>
    </xf>
    <xf numFmtId="0" fontId="21" fillId="0" borderId="2" xfId="0" applyFont="1" applyBorder="1" applyAlignment="1">
      <alignment horizontal="center" vertical="center"/>
    </xf>
    <xf numFmtId="0" fontId="21" fillId="0" borderId="2" xfId="49" applyFont="1" applyBorder="1" applyAlignment="1">
      <alignment horizontal="left" vertical="center" indent="1"/>
    </xf>
    <xf numFmtId="2" fontId="16" fillId="0" borderId="0" xfId="0" applyNumberFormat="1" applyFont="1">
      <alignment vertical="center"/>
    </xf>
    <xf numFmtId="0" fontId="23" fillId="0" borderId="0" xfId="0" applyFont="1">
      <alignment vertical="center"/>
    </xf>
    <xf numFmtId="0" fontId="20" fillId="0" borderId="2" xfId="63" applyFont="1" applyBorder="1" applyAlignment="1">
      <alignment horizontal="center" vertical="center"/>
    </xf>
    <xf numFmtId="0" fontId="20" fillId="0" borderId="2" xfId="0" applyFont="1" applyBorder="1">
      <alignment vertical="center"/>
    </xf>
    <xf numFmtId="0" fontId="21" fillId="0" borderId="2" xfId="18" applyFont="1" applyFill="1" applyBorder="1" applyAlignment="1">
      <alignment horizontal="center" vertical="center" wrapText="1"/>
    </xf>
    <xf numFmtId="178" fontId="21" fillId="0" borderId="2" xfId="54" applyNumberFormat="1" applyFont="1" applyBorder="1">
      <alignment vertical="center"/>
    </xf>
    <xf numFmtId="49" fontId="20" fillId="5" borderId="2" xfId="61" applyNumberFormat="1" applyFont="1" applyFill="1" applyBorder="1" applyAlignment="1">
      <alignment horizontal="center" vertical="center"/>
    </xf>
    <xf numFmtId="0" fontId="20" fillId="5" borderId="2" xfId="61" applyFont="1" applyFill="1" applyBorder="1" applyAlignment="1">
      <alignment horizontal="left" vertical="center"/>
    </xf>
    <xf numFmtId="0" fontId="20" fillId="5" borderId="2" xfId="0" applyFont="1" applyFill="1" applyBorder="1" applyAlignment="1">
      <alignment horizontal="center" vertical="center"/>
    </xf>
    <xf numFmtId="178" fontId="20" fillId="5" borderId="2" xfId="0" applyNumberFormat="1" applyFont="1" applyFill="1" applyBorder="1" applyAlignment="1">
      <alignment horizontal="center" vertical="center"/>
    </xf>
    <xf numFmtId="178" fontId="20" fillId="5" borderId="2" xfId="18" applyNumberFormat="1" applyFont="1" applyFill="1" applyBorder="1">
      <alignment vertical="center"/>
    </xf>
    <xf numFmtId="0" fontId="21" fillId="0" borderId="2" xfId="57" applyFont="1" applyBorder="1" applyAlignment="1">
      <alignment vertical="center"/>
    </xf>
    <xf numFmtId="0" fontId="21" fillId="0" borderId="2" xfId="63" applyFont="1" applyBorder="1" applyAlignment="1">
      <alignment horizontal="center" vertical="center"/>
    </xf>
    <xf numFmtId="0" fontId="21" fillId="0" borderId="2" xfId="0" applyFont="1" applyBorder="1">
      <alignment vertical="center"/>
    </xf>
    <xf numFmtId="0" fontId="20" fillId="5" borderId="2" xfId="18" applyFont="1" applyFill="1" applyBorder="1" applyAlignment="1">
      <alignment horizontal="center" vertical="center" wrapText="1"/>
    </xf>
    <xf numFmtId="178" fontId="20" fillId="5" borderId="2" xfId="18" applyNumberFormat="1" applyFont="1" applyFill="1" applyBorder="1" applyAlignment="1">
      <alignment horizontal="right" vertical="center"/>
    </xf>
    <xf numFmtId="49" fontId="20" fillId="5" borderId="0" xfId="61" applyNumberFormat="1" applyFont="1" applyFill="1" applyAlignment="1">
      <alignment horizontal="center" vertical="center"/>
    </xf>
    <xf numFmtId="0" fontId="20" fillId="5" borderId="0" xfId="61" applyFont="1" applyFill="1" applyAlignment="1">
      <alignment horizontal="left" vertical="center"/>
    </xf>
    <xf numFmtId="0" fontId="20" fillId="5" borderId="0" xfId="18" applyFont="1" applyFill="1" applyAlignment="1">
      <alignment horizontal="center" vertical="center" wrapText="1"/>
    </xf>
    <xf numFmtId="178" fontId="20" fillId="5" borderId="0" xfId="18" applyNumberFormat="1" applyFont="1" applyFill="1" applyAlignment="1">
      <alignment horizontal="right" vertical="center"/>
    </xf>
    <xf numFmtId="178" fontId="20" fillId="5" borderId="0" xfId="18" applyNumberFormat="1" applyFont="1" applyFill="1">
      <alignment vertical="center"/>
    </xf>
    <xf numFmtId="0" fontId="17" fillId="0" borderId="0" xfId="0" applyFont="1" applyFill="1">
      <alignment vertical="center"/>
    </xf>
    <xf numFmtId="0" fontId="6" fillId="0" borderId="0" xfId="0" applyFont="1" applyFill="1">
      <alignment vertical="center"/>
    </xf>
    <xf numFmtId="0" fontId="24" fillId="0" borderId="0" xfId="0" applyFo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16" fillId="0" borderId="0" xfId="0" applyNumberFormat="1" applyFont="1" applyAlignment="1">
      <alignment horizontal="center" vertical="center"/>
    </xf>
    <xf numFmtId="49" fontId="20" fillId="5" borderId="2" xfId="0" applyNumberFormat="1" applyFont="1" applyFill="1" applyBorder="1" applyAlignment="1">
      <alignment horizontal="center" vertical="center"/>
    </xf>
    <xf numFmtId="178" fontId="20" fillId="5" borderId="2" xfId="0" applyNumberFormat="1" applyFont="1" applyFill="1" applyBorder="1" applyAlignment="1">
      <alignment horizontal="center" vertical="center" wrapText="1"/>
    </xf>
    <xf numFmtId="178" fontId="20" fillId="0" borderId="2" xfId="0" applyNumberFormat="1" applyFont="1" applyFill="1" applyBorder="1" applyAlignment="1">
      <alignment horizontal="center" vertical="center"/>
    </xf>
    <xf numFmtId="178" fontId="20" fillId="0" borderId="2" xfId="18" applyNumberFormat="1" applyFont="1" applyFill="1" applyBorder="1" applyAlignment="1">
      <alignment vertical="center"/>
    </xf>
    <xf numFmtId="49" fontId="20" fillId="0" borderId="2" xfId="61" applyNumberFormat="1" applyFont="1" applyFill="1" applyBorder="1" applyAlignment="1">
      <alignment horizontal="center" vertical="center"/>
    </xf>
    <xf numFmtId="0" fontId="20" fillId="0" borderId="2" xfId="61" applyFont="1" applyFill="1" applyBorder="1" applyAlignment="1">
      <alignment horizontal="left" vertical="center"/>
    </xf>
    <xf numFmtId="0" fontId="20" fillId="0" borderId="2" xfId="0" applyFont="1" applyFill="1" applyBorder="1" applyAlignment="1">
      <alignment horizontal="center" vertical="center"/>
    </xf>
    <xf numFmtId="49" fontId="21" fillId="0" borderId="2" xfId="61" applyNumberFormat="1" applyFont="1" applyFill="1" applyBorder="1" applyAlignment="1">
      <alignment horizontal="center" vertical="center"/>
    </xf>
    <xf numFmtId="0" fontId="21" fillId="0" borderId="2" xfId="61" applyFont="1" applyFill="1" applyBorder="1" applyAlignment="1">
      <alignment horizontal="left" vertical="center"/>
    </xf>
    <xf numFmtId="178" fontId="21" fillId="0" borderId="2" xfId="18" applyNumberFormat="1" applyFont="1" applyFill="1" applyBorder="1" applyAlignment="1">
      <alignment horizontal="right" vertical="center"/>
    </xf>
    <xf numFmtId="178" fontId="21" fillId="0" borderId="2" xfId="18" applyNumberFormat="1" applyFont="1" applyFill="1" applyBorder="1" applyAlignment="1">
      <alignment vertical="center"/>
    </xf>
    <xf numFmtId="0" fontId="21" fillId="0" borderId="2" xfId="56" applyFont="1" applyFill="1" applyBorder="1" applyAlignment="1">
      <alignment horizontal="center" vertical="center"/>
    </xf>
    <xf numFmtId="178" fontId="21" fillId="0" borderId="2" xfId="0" applyNumberFormat="1" applyFont="1" applyFill="1" applyBorder="1" applyAlignment="1">
      <alignment horizontal="center" vertical="center"/>
    </xf>
    <xf numFmtId="179" fontId="21" fillId="0" borderId="2" xfId="18" applyNumberFormat="1" applyFont="1" applyFill="1" applyBorder="1" applyAlignment="1">
      <alignment horizontal="right" vertical="center"/>
    </xf>
    <xf numFmtId="0" fontId="21" fillId="0" borderId="2" xfId="61" applyFont="1" applyFill="1" applyBorder="1" applyAlignment="1">
      <alignment horizontal="left" vertical="center" indent="1"/>
    </xf>
    <xf numFmtId="0" fontId="21" fillId="0" borderId="2" xfId="0" applyFont="1" applyFill="1" applyBorder="1" applyAlignment="1">
      <alignment horizontal="center" vertical="center"/>
    </xf>
    <xf numFmtId="0" fontId="21" fillId="0" borderId="2" xfId="49" applyFont="1" applyFill="1" applyBorder="1" applyAlignment="1">
      <alignment horizontal="left" vertical="center" indent="1"/>
    </xf>
    <xf numFmtId="0" fontId="20" fillId="0" borderId="2" xfId="63" applyFont="1" applyFill="1" applyBorder="1" applyAlignment="1">
      <alignment horizontal="center" vertical="center"/>
    </xf>
    <xf numFmtId="0" fontId="20" fillId="0" borderId="2" xfId="0" applyFont="1" applyFill="1" applyBorder="1">
      <alignment vertical="center"/>
    </xf>
    <xf numFmtId="0" fontId="21" fillId="0" borderId="2" xfId="63" applyFont="1" applyFill="1" applyBorder="1" applyAlignment="1">
      <alignment horizontal="center" vertical="center"/>
    </xf>
    <xf numFmtId="0" fontId="21" fillId="0" borderId="2" xfId="0" applyFont="1" applyFill="1" applyBorder="1">
      <alignment vertical="center"/>
    </xf>
    <xf numFmtId="0" fontId="6" fillId="0" borderId="0" xfId="0" applyFont="1" applyFill="1" applyAlignment="1">
      <alignment horizontal="left" vertical="center"/>
    </xf>
    <xf numFmtId="178" fontId="20" fillId="0" borderId="2" xfId="18" applyNumberFormat="1" applyFont="1" applyFill="1" applyBorder="1" applyAlignment="1">
      <alignment horizontal="right" vertical="center"/>
    </xf>
    <xf numFmtId="49" fontId="21" fillId="0" borderId="2" xfId="49" applyNumberFormat="1" applyFont="1" applyFill="1" applyBorder="1" applyAlignment="1" applyProtection="1">
      <alignment horizontal="center" vertical="center"/>
    </xf>
    <xf numFmtId="0" fontId="21" fillId="0" borderId="2" xfId="57" applyFont="1" applyFill="1" applyBorder="1" applyAlignment="1" applyProtection="1">
      <alignment vertical="center"/>
    </xf>
    <xf numFmtId="178" fontId="21" fillId="0" borderId="2" xfId="54" applyNumberFormat="1" applyFont="1" applyFill="1" applyBorder="1" applyAlignment="1">
      <alignment vertical="center"/>
    </xf>
    <xf numFmtId="0" fontId="21" fillId="0" borderId="2" xfId="57" applyFont="1" applyFill="1" applyBorder="1" applyAlignment="1" applyProtection="1">
      <alignment horizontal="left" vertical="center" indent="1"/>
    </xf>
    <xf numFmtId="49" fontId="6" fillId="0" borderId="0" xfId="0" applyNumberFormat="1" applyFont="1" applyFill="1">
      <alignment vertical="center"/>
    </xf>
    <xf numFmtId="0" fontId="6" fillId="0" borderId="0" xfId="0" applyFont="1" applyFill="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25" fillId="0" borderId="2" xfId="18" applyFont="1" applyBorder="1" applyAlignment="1">
      <alignment horizontal="left" vertical="center"/>
    </xf>
    <xf numFmtId="178" fontId="20" fillId="0" borderId="2" xfId="54" applyNumberFormat="1" applyFont="1" applyBorder="1">
      <alignment vertical="center"/>
    </xf>
    <xf numFmtId="0" fontId="21" fillId="0" borderId="2" xfId="57" applyFont="1" applyBorder="1" applyAlignment="1">
      <alignment horizontal="left" vertical="center" indent="1"/>
    </xf>
    <xf numFmtId="10" fontId="6" fillId="0" borderId="0" xfId="11" applyNumberFormat="1" applyFont="1" applyFill="1" applyAlignment="1">
      <alignment horizontal="center" vertical="center"/>
    </xf>
    <xf numFmtId="0" fontId="6" fillId="0" borderId="0" xfId="0" applyFont="1" applyFill="1" applyAlignment="1">
      <alignment vertical="center" wrapText="1"/>
    </xf>
    <xf numFmtId="49" fontId="7" fillId="0" borderId="0" xfId="0" applyNumberFormat="1" applyFont="1" applyFill="1" applyAlignment="1">
      <alignment horizontal="center" vertical="center"/>
    </xf>
    <xf numFmtId="49" fontId="26" fillId="5" borderId="2" xfId="61" applyNumberFormat="1" applyFont="1" applyFill="1" applyBorder="1" applyAlignment="1">
      <alignment horizontal="center" vertical="center"/>
    </xf>
    <xf numFmtId="0" fontId="26" fillId="5" borderId="2" xfId="61" applyFont="1" applyFill="1" applyBorder="1" applyAlignment="1">
      <alignment horizontal="left" vertical="center"/>
    </xf>
    <xf numFmtId="0" fontId="26" fillId="5" borderId="2" xfId="0" applyFont="1" applyFill="1" applyBorder="1" applyAlignment="1">
      <alignment horizontal="center" vertical="center"/>
    </xf>
    <xf numFmtId="178" fontId="26" fillId="5" borderId="2" xfId="0" applyNumberFormat="1" applyFont="1" applyFill="1" applyBorder="1" applyAlignment="1">
      <alignment horizontal="center" vertical="center"/>
    </xf>
    <xf numFmtId="178" fontId="26" fillId="0" borderId="2" xfId="0" applyNumberFormat="1" applyFont="1" applyFill="1" applyBorder="1" applyAlignment="1">
      <alignment horizontal="center" vertical="center"/>
    </xf>
    <xf numFmtId="178" fontId="26" fillId="5" borderId="2" xfId="18" applyNumberFormat="1" applyFont="1" applyFill="1" applyBorder="1" applyAlignment="1">
      <alignment vertical="center"/>
    </xf>
    <xf numFmtId="49" fontId="26" fillId="0" borderId="2" xfId="61" applyNumberFormat="1" applyFont="1" applyFill="1" applyBorder="1" applyAlignment="1">
      <alignment horizontal="center" vertical="center"/>
    </xf>
    <xf numFmtId="0" fontId="26" fillId="0" borderId="2" xfId="61" applyFont="1" applyFill="1" applyBorder="1" applyAlignment="1">
      <alignment horizontal="left" vertical="center"/>
    </xf>
    <xf numFmtId="0" fontId="26" fillId="0" borderId="2" xfId="0" applyFont="1" applyFill="1" applyBorder="1" applyAlignment="1">
      <alignment horizontal="center" vertical="center"/>
    </xf>
    <xf numFmtId="178" fontId="26" fillId="0" borderId="2" xfId="18" applyNumberFormat="1" applyFont="1" applyFill="1" applyBorder="1" applyAlignment="1">
      <alignment vertical="center"/>
    </xf>
    <xf numFmtId="49" fontId="25" fillId="0" borderId="2" xfId="61" applyNumberFormat="1" applyFont="1" applyFill="1" applyBorder="1" applyAlignment="1">
      <alignment horizontal="center" vertical="center"/>
    </xf>
    <xf numFmtId="0" fontId="25" fillId="0" borderId="2" xfId="61" applyFont="1" applyFill="1" applyBorder="1" applyAlignment="1">
      <alignment horizontal="left" vertical="center"/>
    </xf>
    <xf numFmtId="0" fontId="25" fillId="0" borderId="2" xfId="18" applyFont="1" applyFill="1" applyBorder="1" applyAlignment="1">
      <alignment horizontal="center" vertical="center" wrapText="1"/>
    </xf>
    <xf numFmtId="179" fontId="25" fillId="0" borderId="2" xfId="18" applyNumberFormat="1" applyFont="1" applyFill="1" applyBorder="1" applyAlignment="1">
      <alignment horizontal="right" vertical="center"/>
    </xf>
    <xf numFmtId="178" fontId="25" fillId="0" borderId="2" xfId="18" applyNumberFormat="1" applyFont="1" applyFill="1" applyBorder="1" applyAlignment="1">
      <alignment horizontal="right" vertical="center"/>
    </xf>
    <xf numFmtId="0" fontId="25" fillId="0" borderId="2" xfId="56" applyFont="1" applyFill="1" applyBorder="1" applyAlignment="1">
      <alignment horizontal="center" vertical="center"/>
    </xf>
    <xf numFmtId="178" fontId="25" fillId="0" borderId="2" xfId="0" applyNumberFormat="1" applyFont="1" applyFill="1" applyBorder="1" applyAlignment="1">
      <alignment horizontal="center" vertical="center"/>
    </xf>
    <xf numFmtId="0" fontId="25" fillId="0" borderId="2" xfId="49" applyFont="1" applyFill="1" applyBorder="1" applyAlignment="1">
      <alignment horizontal="left" vertical="center" indent="1"/>
    </xf>
    <xf numFmtId="178" fontId="25" fillId="0" borderId="2" xfId="18" applyNumberFormat="1" applyFont="1" applyFill="1" applyBorder="1" applyAlignment="1">
      <alignment vertical="center"/>
    </xf>
    <xf numFmtId="0" fontId="25" fillId="0" borderId="2" xfId="0" applyFont="1" applyFill="1" applyBorder="1" applyAlignment="1">
      <alignment horizontal="center" vertical="center"/>
    </xf>
    <xf numFmtId="178" fontId="6" fillId="0" borderId="0" xfId="0" applyNumberFormat="1" applyFont="1" applyFill="1">
      <alignment vertical="center"/>
    </xf>
    <xf numFmtId="49" fontId="25" fillId="0" borderId="2" xfId="61" applyNumberFormat="1" applyFont="1" applyFill="1" applyBorder="1" applyAlignment="1">
      <alignment horizontal="center" vertical="center" wrapText="1"/>
    </xf>
    <xf numFmtId="0" fontId="25" fillId="0" borderId="2" xfId="61" applyFont="1" applyFill="1" applyBorder="1" applyAlignment="1">
      <alignment horizontal="left" vertical="center" wrapText="1" indent="1"/>
    </xf>
    <xf numFmtId="178" fontId="25" fillId="0" borderId="2" xfId="18" applyNumberFormat="1" applyFont="1" applyFill="1" applyBorder="1" applyAlignment="1">
      <alignment vertical="center" wrapText="1"/>
    </xf>
    <xf numFmtId="178" fontId="6" fillId="0" borderId="0" xfId="0" applyNumberFormat="1" applyFont="1" applyFill="1" applyAlignment="1">
      <alignment vertical="center" wrapText="1"/>
    </xf>
    <xf numFmtId="0" fontId="25" fillId="0" borderId="2" xfId="49" applyFont="1" applyFill="1" applyBorder="1" applyAlignment="1">
      <alignment horizontal="left" vertical="center" wrapText="1" indent="1"/>
    </xf>
    <xf numFmtId="0" fontId="26" fillId="0" borderId="2" xfId="63" applyFont="1" applyFill="1" applyBorder="1" applyAlignment="1">
      <alignment horizontal="center" vertical="center"/>
    </xf>
    <xf numFmtId="0" fontId="25" fillId="0" borderId="2" xfId="63" applyFont="1" applyFill="1" applyBorder="1" applyAlignment="1">
      <alignment horizontal="center" vertical="center"/>
    </xf>
    <xf numFmtId="178" fontId="26" fillId="5" borderId="2" xfId="18" applyNumberFormat="1" applyFont="1" applyFill="1" applyBorder="1" applyAlignment="1">
      <alignment horizontal="right" vertical="center"/>
    </xf>
    <xf numFmtId="49" fontId="25" fillId="0" borderId="2" xfId="49" applyNumberFormat="1" applyFont="1" applyFill="1" applyBorder="1" applyAlignment="1" applyProtection="1">
      <alignment horizontal="center" vertical="center"/>
    </xf>
    <xf numFmtId="0" fontId="25" fillId="0" borderId="2" xfId="57" applyFont="1" applyFill="1" applyBorder="1" applyAlignment="1" applyProtection="1">
      <alignment vertical="center"/>
    </xf>
    <xf numFmtId="178" fontId="25" fillId="0" borderId="2" xfId="54" applyNumberFormat="1" applyFont="1" applyFill="1" applyBorder="1" applyAlignment="1">
      <alignment vertical="center"/>
    </xf>
    <xf numFmtId="0" fontId="25" fillId="0" borderId="2" xfId="0" applyFont="1" applyFill="1" applyBorder="1">
      <alignment vertical="center"/>
    </xf>
    <xf numFmtId="0" fontId="25" fillId="0" borderId="2" xfId="57" applyFont="1" applyFill="1" applyBorder="1" applyAlignment="1" applyProtection="1">
      <alignment horizontal="left" vertical="center" indent="1"/>
    </xf>
    <xf numFmtId="0" fontId="26" fillId="5" borderId="2" xfId="18" applyFont="1" applyFill="1" applyBorder="1" applyAlignment="1">
      <alignment horizontal="center" vertical="center" wrapText="1"/>
    </xf>
    <xf numFmtId="178" fontId="26" fillId="0" borderId="2" xfId="18" applyNumberFormat="1" applyFont="1" applyFill="1" applyBorder="1" applyAlignment="1">
      <alignment horizontal="right" vertical="center"/>
    </xf>
    <xf numFmtId="0" fontId="20" fillId="0" borderId="0" xfId="0" applyFont="1" applyFill="1" applyAlignment="1">
      <alignment horizontal="center" vertical="center"/>
    </xf>
    <xf numFmtId="0" fontId="24" fillId="0" borderId="0" xfId="0" applyFont="1" applyAlignment="1">
      <alignment horizontal="left" vertical="center"/>
    </xf>
    <xf numFmtId="0" fontId="27" fillId="0" borderId="0" xfId="0" applyFont="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29" fillId="0" borderId="2" xfId="0" applyFont="1" applyBorder="1" applyAlignment="1">
      <alignment horizontal="left" vertical="center"/>
    </xf>
    <xf numFmtId="0" fontId="29" fillId="0" borderId="2" xfId="0" applyFont="1" applyBorder="1" applyAlignment="1">
      <alignment horizontal="center" vertical="center" wrapText="1"/>
    </xf>
    <xf numFmtId="49" fontId="25" fillId="0" borderId="2" xfId="61" applyNumberFormat="1" applyFont="1" applyBorder="1" applyAlignment="1">
      <alignment horizontal="center" vertical="center"/>
    </xf>
    <xf numFmtId="0" fontId="28" fillId="0" borderId="2" xfId="0" applyFont="1" applyBorder="1" applyAlignment="1">
      <alignment horizontal="center" vertical="center" wrapText="1"/>
    </xf>
    <xf numFmtId="0" fontId="30" fillId="0" borderId="0" xfId="0" applyFont="1" applyAlignment="1">
      <alignment horizontal="left" vertical="center"/>
    </xf>
    <xf numFmtId="0" fontId="31" fillId="0" borderId="0" xfId="0" applyFont="1" applyAlignment="1">
      <alignment horizontal="justify" vertical="center"/>
    </xf>
    <xf numFmtId="0" fontId="32" fillId="0" borderId="0" xfId="0" applyFont="1">
      <alignment vertical="center"/>
    </xf>
    <xf numFmtId="49" fontId="26" fillId="0" borderId="2" xfId="61" applyNumberFormat="1" applyFont="1" applyBorder="1" applyAlignment="1">
      <alignment horizontal="center" vertical="center"/>
    </xf>
    <xf numFmtId="0" fontId="26" fillId="0" borderId="2" xfId="61" applyFont="1" applyBorder="1" applyAlignment="1">
      <alignment horizontal="left" vertical="center"/>
    </xf>
    <xf numFmtId="0" fontId="26" fillId="0" borderId="2" xfId="0" applyFont="1" applyBorder="1" applyAlignment="1">
      <alignment horizontal="center" vertical="center"/>
    </xf>
    <xf numFmtId="178" fontId="26" fillId="0" borderId="2" xfId="0" applyNumberFormat="1" applyFont="1" applyBorder="1" applyAlignment="1">
      <alignment horizontal="center" vertical="center"/>
    </xf>
    <xf numFmtId="0" fontId="25" fillId="0" borderId="2" xfId="61" applyFont="1" applyBorder="1" applyAlignment="1">
      <alignment horizontal="left" vertical="center"/>
    </xf>
    <xf numFmtId="0" fontId="25" fillId="0" borderId="2" xfId="18" applyFont="1" applyBorder="1" applyAlignment="1">
      <alignment horizontal="center" vertical="center" wrapText="1"/>
    </xf>
    <xf numFmtId="178" fontId="25" fillId="0" borderId="2" xfId="18" applyNumberFormat="1" applyFont="1" applyBorder="1" applyAlignment="1">
      <alignment horizontal="right" vertical="center"/>
    </xf>
    <xf numFmtId="0" fontId="25" fillId="0" borderId="2" xfId="56" applyFont="1" applyBorder="1" applyAlignment="1">
      <alignment horizontal="center" vertical="center"/>
    </xf>
    <xf numFmtId="178" fontId="25" fillId="0" borderId="2" xfId="0" applyNumberFormat="1" applyFont="1" applyBorder="1" applyAlignment="1">
      <alignment horizontal="center" vertical="center"/>
    </xf>
    <xf numFmtId="179" fontId="25" fillId="0" borderId="2" xfId="18" applyNumberFormat="1" applyFont="1" applyBorder="1" applyAlignment="1">
      <alignment horizontal="right" vertical="center"/>
    </xf>
    <xf numFmtId="0" fontId="25" fillId="0" borderId="2" xfId="61" applyFont="1" applyBorder="1" applyAlignment="1">
      <alignment horizontal="left" vertical="center" indent="1"/>
    </xf>
    <xf numFmtId="0" fontId="25" fillId="0" borderId="2" xfId="0" applyFont="1" applyBorder="1" applyAlignment="1">
      <alignment horizontal="center" vertical="center"/>
    </xf>
    <xf numFmtId="0" fontId="25" fillId="0" borderId="2" xfId="49" applyFont="1" applyBorder="1" applyAlignment="1">
      <alignment horizontal="left" vertical="center" indent="1"/>
    </xf>
    <xf numFmtId="178" fontId="21" fillId="0" borderId="2" xfId="54" applyNumberFormat="1" applyFont="1" applyBorder="1" applyAlignment="1">
      <alignment horizontal="right" vertical="center"/>
    </xf>
    <xf numFmtId="0" fontId="26" fillId="0" borderId="2" xfId="63" applyFont="1" applyBorder="1" applyAlignment="1">
      <alignment horizontal="center" vertical="center"/>
    </xf>
    <xf numFmtId="0" fontId="26" fillId="0" borderId="2" xfId="0" applyFont="1" applyBorder="1">
      <alignment vertical="center"/>
    </xf>
    <xf numFmtId="0" fontId="25" fillId="0" borderId="2" xfId="63" applyFont="1" applyBorder="1" applyAlignment="1">
      <alignment horizontal="center" vertical="center"/>
    </xf>
    <xf numFmtId="0" fontId="25" fillId="0" borderId="2" xfId="0" applyFont="1" applyBorder="1">
      <alignment vertical="center"/>
    </xf>
    <xf numFmtId="178" fontId="20" fillId="0" borderId="2" xfId="61" applyNumberFormat="1" applyFont="1" applyBorder="1" applyAlignment="1">
      <alignment horizontal="right" vertical="center"/>
    </xf>
    <xf numFmtId="178" fontId="20" fillId="0" borderId="2" xfId="18" applyNumberFormat="1" applyFont="1" applyBorder="1" applyAlignment="1">
      <alignment horizontal="right" vertical="center"/>
    </xf>
    <xf numFmtId="0" fontId="25" fillId="0" borderId="2" xfId="57" applyFont="1" applyBorder="1" applyAlignment="1">
      <alignment vertical="center"/>
    </xf>
    <xf numFmtId="0" fontId="25" fillId="0" borderId="2" xfId="57" applyFont="1" applyBorder="1" applyAlignment="1">
      <alignment horizontal="left" vertical="center" indent="1"/>
    </xf>
    <xf numFmtId="0" fontId="26" fillId="0" borderId="2" xfId="18" applyFont="1" applyBorder="1" applyAlignment="1">
      <alignment horizontal="center" vertical="center" wrapText="1"/>
    </xf>
    <xf numFmtId="178" fontId="26" fillId="0" borderId="2" xfId="18" applyNumberFormat="1" applyFont="1" applyBorder="1" applyAlignment="1">
      <alignment horizontal="right" vertical="center"/>
    </xf>
    <xf numFmtId="49" fontId="20" fillId="0" borderId="0" xfId="61" applyNumberFormat="1" applyFont="1" applyAlignment="1">
      <alignment horizontal="center" vertical="center"/>
    </xf>
    <xf numFmtId="0" fontId="20" fillId="0" borderId="0" xfId="61" applyFont="1" applyAlignment="1">
      <alignment horizontal="left" vertical="center"/>
    </xf>
    <xf numFmtId="178" fontId="20" fillId="0" borderId="0" xfId="18" applyNumberFormat="1" applyFont="1">
      <alignment vertical="center"/>
    </xf>
    <xf numFmtId="0" fontId="17" fillId="0" borderId="0" xfId="0" applyFont="1" applyAlignment="1">
      <alignment horizontal="left" vertical="center"/>
    </xf>
    <xf numFmtId="178" fontId="6" fillId="0" borderId="0" xfId="0" applyNumberFormat="1" applyFont="1" applyAlignment="1">
      <alignment horizontal="center" vertical="center"/>
    </xf>
    <xf numFmtId="0" fontId="6" fillId="0" borderId="0" xfId="0" applyFont="1" applyAlignment="1">
      <alignment horizontal="right" vertical="center"/>
    </xf>
    <xf numFmtId="0" fontId="20" fillId="5" borderId="5"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6" xfId="0" applyFont="1" applyFill="1" applyBorder="1" applyAlignment="1">
      <alignment horizontal="center" vertical="center"/>
    </xf>
    <xf numFmtId="179" fontId="20" fillId="5" borderId="2" xfId="18" applyNumberFormat="1" applyFont="1" applyFill="1" applyBorder="1" applyAlignment="1">
      <alignment horizontal="right" vertical="center"/>
    </xf>
    <xf numFmtId="0" fontId="20" fillId="0" borderId="2" xfId="18" applyFont="1" applyBorder="1" applyAlignment="1">
      <alignment horizontal="center" vertical="center" wrapText="1"/>
    </xf>
    <xf numFmtId="179" fontId="20" fillId="0" borderId="2" xfId="18" applyNumberFormat="1" applyFont="1" applyBorder="1" applyAlignment="1">
      <alignment horizontal="right" vertical="center"/>
    </xf>
    <xf numFmtId="180" fontId="21" fillId="0" borderId="2" xfId="49" applyNumberFormat="1" applyFont="1" applyBorder="1" applyAlignment="1">
      <alignment vertical="center"/>
    </xf>
    <xf numFmtId="2" fontId="21" fillId="0" borderId="2" xfId="49" applyNumberFormat="1" applyFont="1" applyBorder="1" applyAlignment="1">
      <alignment horizontal="center" vertical="center"/>
    </xf>
    <xf numFmtId="178" fontId="21" fillId="0" borderId="2" xfId="0" applyNumberFormat="1" applyFont="1" applyBorder="1" applyAlignment="1">
      <alignment horizontal="right" vertical="center"/>
    </xf>
    <xf numFmtId="49" fontId="21" fillId="0" borderId="2" xfId="49" applyNumberFormat="1" applyFont="1" applyBorder="1" applyAlignment="1">
      <alignment horizontal="center" vertical="center"/>
    </xf>
    <xf numFmtId="0" fontId="21" fillId="0" borderId="2" xfId="18" applyFont="1" applyBorder="1">
      <alignment vertical="center"/>
    </xf>
    <xf numFmtId="0" fontId="21" fillId="0" borderId="2" xfId="18" applyFont="1" applyBorder="1" applyAlignment="1">
      <alignment vertical="center" wrapText="1"/>
    </xf>
    <xf numFmtId="178" fontId="7" fillId="0" borderId="0" xfId="0" applyNumberFormat="1" applyFont="1" applyAlignment="1">
      <alignment horizontal="center" vertical="center"/>
    </xf>
    <xf numFmtId="178" fontId="20" fillId="5" borderId="3" xfId="0" applyNumberFormat="1" applyFont="1" applyFill="1" applyBorder="1" applyAlignment="1">
      <alignment horizontal="center" vertical="center" wrapText="1"/>
    </xf>
    <xf numFmtId="0" fontId="20" fillId="5" borderId="2" xfId="0" applyFont="1" applyFill="1" applyBorder="1" applyAlignment="1">
      <alignment horizontal="center" vertical="center" wrapText="1"/>
    </xf>
    <xf numFmtId="178" fontId="20" fillId="5" borderId="4" xfId="0" applyNumberFormat="1" applyFont="1" applyFill="1" applyBorder="1" applyAlignment="1">
      <alignment horizontal="center" vertical="center" wrapText="1"/>
    </xf>
    <xf numFmtId="178" fontId="20" fillId="5" borderId="2" xfId="0" applyNumberFormat="1" applyFont="1" applyFill="1" applyBorder="1" applyAlignment="1">
      <alignment horizontal="left" vertical="center"/>
    </xf>
    <xf numFmtId="178" fontId="20" fillId="0" borderId="2" xfId="49" applyNumberFormat="1" applyFont="1" applyBorder="1" applyAlignment="1">
      <alignment vertical="center"/>
    </xf>
    <xf numFmtId="178" fontId="20" fillId="0" borderId="2" xfId="0" applyNumberFormat="1" applyFont="1" applyBorder="1" applyAlignment="1">
      <alignment horizontal="left" vertical="center"/>
    </xf>
    <xf numFmtId="178" fontId="21" fillId="0" borderId="2" xfId="49" applyNumberFormat="1" applyFont="1" applyBorder="1" applyAlignment="1">
      <alignment vertical="center"/>
    </xf>
    <xf numFmtId="178" fontId="21" fillId="0" borderId="2" xfId="0" applyNumberFormat="1" applyFont="1" applyBorder="1" applyAlignment="1">
      <alignment horizontal="left" vertical="center" wrapText="1"/>
    </xf>
    <xf numFmtId="178" fontId="33" fillId="0" borderId="2" xfId="0" applyNumberFormat="1" applyFont="1" applyBorder="1" applyAlignment="1">
      <alignment horizontal="left" vertical="center"/>
    </xf>
    <xf numFmtId="178" fontId="21" fillId="6" borderId="2" xfId="18" applyNumberFormat="1" applyFont="1" applyFill="1" applyBorder="1" applyAlignment="1">
      <alignment horizontal="right" vertical="center"/>
    </xf>
    <xf numFmtId="178" fontId="33" fillId="4" borderId="2" xfId="18" applyNumberFormat="1" applyFont="1" applyFill="1" applyBorder="1" applyAlignment="1">
      <alignment horizontal="right" vertical="center"/>
    </xf>
    <xf numFmtId="178" fontId="21" fillId="0" borderId="2" xfId="0" applyNumberFormat="1" applyFont="1" applyBorder="1" applyAlignment="1">
      <alignment horizontal="left" vertical="center"/>
    </xf>
    <xf numFmtId="176" fontId="20" fillId="0" borderId="2" xfId="63" applyNumberFormat="1" applyFont="1" applyBorder="1" applyAlignment="1">
      <alignment horizontal="left" vertical="center" wrapText="1"/>
    </xf>
    <xf numFmtId="0" fontId="33" fillId="0" borderId="2" xfId="63" applyFont="1" applyBorder="1" applyAlignment="1">
      <alignment horizontal="left" vertical="center"/>
    </xf>
    <xf numFmtId="0" fontId="21" fillId="0" borderId="2" xfId="63" applyFont="1" applyBorder="1" applyAlignment="1">
      <alignment horizontal="left" vertical="center"/>
    </xf>
    <xf numFmtId="0" fontId="6" fillId="0" borderId="0" xfId="63" applyFont="1" applyAlignment="1">
      <alignment horizontal="left" vertical="center"/>
    </xf>
    <xf numFmtId="176" fontId="34" fillId="5" borderId="2" xfId="63" applyNumberFormat="1" applyFont="1" applyFill="1" applyBorder="1" applyAlignment="1">
      <alignment horizontal="left" vertical="center" wrapText="1"/>
    </xf>
    <xf numFmtId="180" fontId="21" fillId="0" borderId="2" xfId="0" applyNumberFormat="1" applyFont="1" applyBorder="1" applyAlignment="1">
      <alignment horizontal="center" vertical="center" wrapText="1"/>
    </xf>
    <xf numFmtId="0" fontId="33" fillId="0" borderId="2" xfId="63" applyFont="1" applyBorder="1" applyAlignment="1">
      <alignment horizontal="left" vertical="center" wrapText="1"/>
    </xf>
    <xf numFmtId="0" fontId="33" fillId="0" borderId="2" xfId="0" applyFont="1" applyBorder="1" applyAlignment="1">
      <alignment horizontal="left" vertical="center"/>
    </xf>
    <xf numFmtId="0" fontId="33" fillId="0" borderId="2" xfId="0" applyFont="1" applyBorder="1" applyAlignment="1">
      <alignment horizontal="left" vertical="center" wrapText="1"/>
    </xf>
    <xf numFmtId="178" fontId="20" fillId="5" borderId="2" xfId="0" applyNumberFormat="1" applyFont="1" applyFill="1" applyBorder="1" applyAlignment="1">
      <alignment horizontal="right" vertical="center"/>
    </xf>
    <xf numFmtId="0" fontId="35" fillId="0" borderId="0" xfId="0" applyFont="1" applyAlignment="1">
      <alignment horizontal="center" vertical="center"/>
    </xf>
    <xf numFmtId="178" fontId="35" fillId="0" borderId="0" xfId="0" applyNumberFormat="1" applyFont="1" applyAlignment="1">
      <alignment horizontal="right" vertical="center"/>
    </xf>
    <xf numFmtId="181" fontId="6" fillId="0" borderId="0" xfId="11" applyNumberFormat="1" applyFont="1" applyFill="1" applyAlignment="1">
      <alignment horizontal="left" vertical="center"/>
    </xf>
    <xf numFmtId="178" fontId="33" fillId="0" borderId="2" xfId="0" applyNumberFormat="1" applyFont="1" applyBorder="1" applyAlignment="1">
      <alignment horizontal="left" vertical="center" wrapText="1"/>
    </xf>
    <xf numFmtId="0" fontId="36" fillId="4" borderId="0" xfId="0" applyFont="1" applyFill="1">
      <alignment vertical="center"/>
    </xf>
    <xf numFmtId="0" fontId="37" fillId="4" borderId="2" xfId="0" applyFont="1" applyFill="1" applyBorder="1" applyAlignment="1">
      <alignment horizontal="left" vertical="center" wrapText="1"/>
    </xf>
    <xf numFmtId="0" fontId="38" fillId="0" borderId="0" xfId="0" applyFont="1">
      <alignment vertical="center"/>
    </xf>
    <xf numFmtId="0" fontId="39" fillId="0" borderId="0" xfId="0" applyFont="1">
      <alignment vertical="center"/>
    </xf>
    <xf numFmtId="49" fontId="40" fillId="0" borderId="0" xfId="0" applyNumberFormat="1" applyFont="1">
      <alignment vertical="center"/>
    </xf>
    <xf numFmtId="0" fontId="40"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178" fontId="40" fillId="0" borderId="0" xfId="0" applyNumberFormat="1" applyFont="1" applyAlignment="1">
      <alignment horizontal="center" vertical="center"/>
    </xf>
    <xf numFmtId="49" fontId="41" fillId="0" borderId="0" xfId="0" applyNumberFormat="1" applyFont="1" applyAlignment="1">
      <alignment horizontal="center" vertical="center"/>
    </xf>
    <xf numFmtId="49" fontId="41" fillId="0" borderId="0" xfId="0" applyNumberFormat="1" applyFont="1" applyAlignment="1">
      <alignment horizontal="left" vertical="center"/>
    </xf>
    <xf numFmtId="49" fontId="38" fillId="0" borderId="0" xfId="0" applyNumberFormat="1" applyFont="1" applyAlignment="1">
      <alignment horizontal="center" vertical="center"/>
    </xf>
    <xf numFmtId="178" fontId="42" fillId="5" borderId="2" xfId="18" applyNumberFormat="1" applyFont="1" applyFill="1" applyBorder="1">
      <alignment vertical="center"/>
    </xf>
    <xf numFmtId="0" fontId="43" fillId="5" borderId="2" xfId="0" applyFont="1" applyFill="1" applyBorder="1" applyAlignment="1">
      <alignment horizontal="center" vertical="center"/>
    </xf>
    <xf numFmtId="178" fontId="43" fillId="5" borderId="2" xfId="0" applyNumberFormat="1" applyFont="1" applyFill="1" applyBorder="1" applyAlignment="1">
      <alignment horizontal="center" vertical="center"/>
    </xf>
    <xf numFmtId="178" fontId="42" fillId="0" borderId="2" xfId="18" applyNumberFormat="1" applyFont="1" applyBorder="1">
      <alignment vertical="center"/>
    </xf>
    <xf numFmtId="0" fontId="42" fillId="0" borderId="2" xfId="0" applyFont="1" applyBorder="1" applyAlignment="1">
      <alignment horizontal="center" vertical="center"/>
    </xf>
    <xf numFmtId="178" fontId="43" fillId="0" borderId="2" xfId="0" applyNumberFormat="1" applyFont="1" applyBorder="1" applyAlignment="1">
      <alignment horizontal="center" vertical="center"/>
    </xf>
    <xf numFmtId="178" fontId="44" fillId="0" borderId="2" xfId="18" applyNumberFormat="1" applyFont="1" applyBorder="1">
      <alignment vertical="center"/>
    </xf>
    <xf numFmtId="0" fontId="35" fillId="0" borderId="2" xfId="18" applyFont="1" applyBorder="1" applyAlignment="1">
      <alignment horizontal="center" vertical="center" wrapText="1"/>
    </xf>
    <xf numFmtId="179" fontId="33" fillId="0" borderId="2" xfId="18" applyNumberFormat="1" applyFont="1" applyBorder="1" applyAlignment="1">
      <alignment horizontal="right" vertical="center"/>
    </xf>
    <xf numFmtId="178" fontId="45" fillId="0" borderId="2" xfId="0" applyNumberFormat="1" applyFont="1" applyBorder="1" applyAlignment="1">
      <alignment horizontal="center" vertical="center"/>
    </xf>
    <xf numFmtId="0" fontId="35" fillId="0" borderId="2" xfId="0" applyFont="1" applyBorder="1">
      <alignment vertical="center"/>
    </xf>
    <xf numFmtId="0" fontId="33" fillId="0" borderId="2" xfId="18" applyFont="1" applyBorder="1">
      <alignment vertical="center"/>
    </xf>
    <xf numFmtId="0" fontId="45" fillId="0" borderId="2" xfId="0" applyFont="1" applyBorder="1">
      <alignment vertical="center"/>
    </xf>
    <xf numFmtId="0" fontId="43" fillId="0" borderId="2" xfId="0" applyFont="1" applyBorder="1" applyAlignment="1">
      <alignment horizontal="center" vertical="center"/>
    </xf>
    <xf numFmtId="0" fontId="33" fillId="0" borderId="2" xfId="18" applyFont="1" applyBorder="1" applyAlignment="1">
      <alignment vertical="center" wrapText="1"/>
    </xf>
    <xf numFmtId="0" fontId="45" fillId="0" borderId="2" xfId="0" applyFont="1" applyBorder="1" applyAlignment="1">
      <alignment horizontal="center" vertical="center"/>
    </xf>
    <xf numFmtId="178" fontId="41" fillId="0" borderId="0" xfId="0" applyNumberFormat="1" applyFont="1" applyAlignment="1">
      <alignment horizontal="center" vertical="center"/>
    </xf>
    <xf numFmtId="178" fontId="43" fillId="5" borderId="2" xfId="0" applyNumberFormat="1" applyFont="1" applyFill="1" applyBorder="1" applyAlignment="1">
      <alignment horizontal="left" vertical="center"/>
    </xf>
    <xf numFmtId="178" fontId="43" fillId="0" borderId="2" xfId="0" applyNumberFormat="1" applyFont="1" applyBorder="1" applyAlignment="1">
      <alignment horizontal="left" vertical="center"/>
    </xf>
    <xf numFmtId="178" fontId="45" fillId="0" borderId="2" xfId="0" applyNumberFormat="1" applyFont="1" applyBorder="1" applyAlignment="1">
      <alignment horizontal="left" vertical="center"/>
    </xf>
    <xf numFmtId="178" fontId="43" fillId="5" borderId="2" xfId="0" applyNumberFormat="1" applyFont="1" applyFill="1" applyBorder="1">
      <alignment vertical="center"/>
    </xf>
    <xf numFmtId="10" fontId="40" fillId="0" borderId="0" xfId="11" applyNumberFormat="1" applyFont="1" applyFill="1" applyAlignment="1">
      <alignment horizontal="center" vertical="center"/>
    </xf>
    <xf numFmtId="0" fontId="33" fillId="4" borderId="2" xfId="18" applyFont="1" applyFill="1" applyBorder="1" applyAlignment="1">
      <alignment horizontal="center" vertical="center" wrapText="1"/>
    </xf>
    <xf numFmtId="0" fontId="21" fillId="0" borderId="2" xfId="49" applyFont="1" applyBorder="1" applyAlignment="1">
      <alignment vertical="center"/>
    </xf>
    <xf numFmtId="10" fontId="6" fillId="0" borderId="0" xfId="0" applyNumberFormat="1" applyFont="1" applyAlignment="1">
      <alignment horizontal="center" vertical="center"/>
    </xf>
    <xf numFmtId="182" fontId="6" fillId="0" borderId="0" xfId="0" applyNumberFormat="1" applyFont="1" applyAlignment="1">
      <alignment horizontal="center" vertical="center"/>
    </xf>
    <xf numFmtId="178" fontId="33" fillId="4" borderId="2" xfId="18" applyNumberFormat="1" applyFont="1" applyFill="1" applyBorder="1">
      <alignment vertical="center"/>
    </xf>
    <xf numFmtId="178" fontId="35" fillId="4" borderId="2" xfId="0" applyNumberFormat="1" applyFont="1" applyFill="1" applyBorder="1" applyAlignment="1">
      <alignment horizontal="left" vertical="center"/>
    </xf>
    <xf numFmtId="0" fontId="36" fillId="0" borderId="0" xfId="0" applyFont="1">
      <alignment vertical="center"/>
    </xf>
    <xf numFmtId="183" fontId="21" fillId="0" borderId="2" xfId="0" applyNumberFormat="1" applyFont="1" applyBorder="1" applyAlignment="1">
      <alignment horizontal="left" vertical="center"/>
    </xf>
    <xf numFmtId="178" fontId="42" fillId="5" borderId="2" xfId="18" applyNumberFormat="1" applyFont="1" applyFill="1" applyBorder="1" applyAlignment="1">
      <alignment horizontal="right" vertical="center"/>
    </xf>
    <xf numFmtId="178" fontId="42" fillId="0" borderId="2" xfId="18" applyNumberFormat="1" applyFont="1" applyBorder="1" applyAlignment="1">
      <alignment horizontal="right" vertical="center"/>
    </xf>
    <xf numFmtId="178" fontId="44" fillId="0" borderId="2" xfId="18" applyNumberFormat="1" applyFont="1" applyBorder="1" applyAlignment="1">
      <alignment horizontal="right" vertical="center"/>
    </xf>
    <xf numFmtId="178" fontId="33" fillId="4" borderId="2" xfId="0" applyNumberFormat="1" applyFont="1" applyFill="1" applyBorder="1" applyAlignment="1">
      <alignment horizontal="left" vertical="center"/>
    </xf>
    <xf numFmtId="178" fontId="35" fillId="4" borderId="2" xfId="18" applyNumberFormat="1" applyFont="1" applyFill="1" applyBorder="1" applyAlignment="1">
      <alignment horizontal="right" vertical="center"/>
    </xf>
    <xf numFmtId="176" fontId="35" fillId="4" borderId="2" xfId="63" applyNumberFormat="1" applyFont="1" applyFill="1" applyBorder="1" applyAlignment="1">
      <alignment horizontal="left" vertical="center"/>
    </xf>
    <xf numFmtId="10" fontId="6" fillId="0" borderId="0" xfId="11" applyNumberFormat="1" applyFont="1" applyFill="1" applyAlignment="1">
      <alignment horizontal="left" vertical="center"/>
    </xf>
    <xf numFmtId="0" fontId="33" fillId="4" borderId="2" xfId="61" applyFont="1" applyFill="1" applyBorder="1" applyAlignment="1">
      <alignment horizontal="left" vertical="center"/>
    </xf>
    <xf numFmtId="184" fontId="21" fillId="0" borderId="2" xfId="63" applyNumberFormat="1" applyFont="1" applyBorder="1" applyAlignment="1">
      <alignment horizontal="center" vertical="center"/>
    </xf>
    <xf numFmtId="0" fontId="33" fillId="4" borderId="2" xfId="63" applyFont="1" applyFill="1" applyBorder="1" applyAlignment="1">
      <alignment horizontal="left" vertical="center"/>
    </xf>
    <xf numFmtId="0" fontId="29" fillId="0" borderId="0" xfId="0" applyFont="1" applyAlignment="1">
      <alignment horizontal="center" vertical="center"/>
    </xf>
    <xf numFmtId="0" fontId="29" fillId="0" borderId="0" xfId="0" applyFont="1">
      <alignment vertical="center"/>
    </xf>
    <xf numFmtId="0" fontId="10" fillId="0" borderId="0" xfId="0" applyFont="1" applyAlignment="1">
      <alignment horizontal="center" vertical="center"/>
    </xf>
    <xf numFmtId="0" fontId="28" fillId="5" borderId="2" xfId="0" applyFont="1" applyFill="1" applyBorder="1" applyAlignment="1">
      <alignment horizontal="center" vertical="center"/>
    </xf>
    <xf numFmtId="0" fontId="28" fillId="5" borderId="2" xfId="0" applyFont="1" applyFill="1" applyBorder="1" applyAlignment="1">
      <alignment horizontal="center" vertical="center" wrapText="1"/>
    </xf>
    <xf numFmtId="0" fontId="29" fillId="0" borderId="2" xfId="0" applyFont="1" applyBorder="1">
      <alignment vertical="center"/>
    </xf>
    <xf numFmtId="178" fontId="29" fillId="0" borderId="2" xfId="0" applyNumberFormat="1" applyFont="1" applyBorder="1">
      <alignment vertical="center"/>
    </xf>
    <xf numFmtId="183" fontId="29" fillId="0" borderId="2" xfId="0" applyNumberFormat="1" applyFont="1" applyBorder="1">
      <alignment vertical="center"/>
    </xf>
    <xf numFmtId="178" fontId="25" fillId="0" borderId="2" xfId="0" applyNumberFormat="1" applyFont="1" applyBorder="1">
      <alignment vertical="center"/>
    </xf>
    <xf numFmtId="178" fontId="28" fillId="0" borderId="2" xfId="0" applyNumberFormat="1" applyFont="1" applyBorder="1">
      <alignment vertical="center"/>
    </xf>
    <xf numFmtId="183" fontId="28" fillId="0" borderId="2" xfId="0" applyNumberFormat="1" applyFont="1" applyBorder="1">
      <alignment vertical="center"/>
    </xf>
    <xf numFmtId="178" fontId="26" fillId="0" borderId="2" xfId="0" applyNumberFormat="1" applyFont="1" applyBorder="1">
      <alignment vertical="center"/>
    </xf>
    <xf numFmtId="178" fontId="28" fillId="5" borderId="2" xfId="0" applyNumberFormat="1" applyFont="1" applyFill="1" applyBorder="1">
      <alignment vertical="center"/>
    </xf>
    <xf numFmtId="183" fontId="28" fillId="5" borderId="2" xfId="0" applyNumberFormat="1" applyFont="1" applyFill="1" applyBorder="1">
      <alignment vertical="center"/>
    </xf>
    <xf numFmtId="178" fontId="26" fillId="5" borderId="2" xfId="0" applyNumberFormat="1" applyFont="1" applyFill="1" applyBorder="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北横泾泵闸估算1 2" xfId="49"/>
    <cellStyle name="常规 2 3" xfId="50"/>
    <cellStyle name="40% - 强调文字颜色 6" xfId="51" builtinId="51"/>
    <cellStyle name="常规 6 9" xfId="52"/>
    <cellStyle name="60% - 强调文字颜色 6" xfId="53" builtinId="52"/>
    <cellStyle name="常规 2 2 2 2 2" xfId="54"/>
    <cellStyle name="常规 2 8" xfId="55"/>
    <cellStyle name="常规 2 2 3 2" xfId="56"/>
    <cellStyle name="常规 13" xfId="57"/>
    <cellStyle name="常规 4" xfId="58"/>
    <cellStyle name="常规 3 9" xfId="59"/>
    <cellStyle name="常规 5" xfId="60"/>
    <cellStyle name="常规 7" xfId="61"/>
    <cellStyle name="常规 3" xfId="62"/>
    <cellStyle name="常规 2" xfId="6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5935" y="10942320"/>
          <a:ext cx="4642485" cy="187261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2900" y="20473035"/>
          <a:ext cx="5125085" cy="15525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zoomScale="85" zoomScaleNormal="85" workbookViewId="0">
      <selection activeCell="G38" sqref="G38"/>
    </sheetView>
  </sheetViews>
  <sheetFormatPr defaultColWidth="9.125" defaultRowHeight="12"/>
  <cols>
    <col min="1" max="1" width="5" style="321" customWidth="1"/>
    <col min="2" max="2" width="37.25" style="322" customWidth="1"/>
    <col min="3" max="8" width="12.625" style="321" customWidth="1"/>
    <col min="9" max="9" width="12.625" style="322" customWidth="1"/>
    <col min="10" max="16384" width="9.125" style="322"/>
  </cols>
  <sheetData>
    <row r="1" ht="25.15" customHeight="1" spans="1:9">
      <c r="A1" s="323" t="s">
        <v>0</v>
      </c>
      <c r="B1" s="323"/>
      <c r="C1" s="323"/>
      <c r="D1" s="323"/>
      <c r="E1" s="323"/>
      <c r="F1" s="323"/>
      <c r="G1" s="323"/>
      <c r="H1" s="323"/>
      <c r="I1" s="323"/>
    </row>
    <row r="2" ht="20.1" customHeight="1" spans="1:9">
      <c r="A2" s="324" t="s">
        <v>1</v>
      </c>
      <c r="B2" s="324" t="s">
        <v>2</v>
      </c>
      <c r="C2" s="324" t="s">
        <v>3</v>
      </c>
      <c r="D2" s="324"/>
      <c r="E2" s="324"/>
      <c r="F2" s="324" t="s">
        <v>4</v>
      </c>
      <c r="G2" s="324"/>
      <c r="H2" s="324"/>
      <c r="I2" s="325" t="s">
        <v>5</v>
      </c>
    </row>
    <row r="3" ht="30" customHeight="1" spans="1:9">
      <c r="A3" s="324"/>
      <c r="B3" s="324"/>
      <c r="C3" s="325" t="s">
        <v>6</v>
      </c>
      <c r="D3" s="325" t="s">
        <v>7</v>
      </c>
      <c r="E3" s="325" t="s">
        <v>8</v>
      </c>
      <c r="F3" s="325" t="s">
        <v>6</v>
      </c>
      <c r="G3" s="325" t="s">
        <v>7</v>
      </c>
      <c r="H3" s="325" t="s">
        <v>8</v>
      </c>
      <c r="I3" s="324"/>
    </row>
    <row r="4" ht="20.1" customHeight="1" spans="1:9">
      <c r="A4" s="192">
        <v>1</v>
      </c>
      <c r="B4" s="326" t="s">
        <v>9</v>
      </c>
      <c r="C4" s="327">
        <v>2290.14</v>
      </c>
      <c r="D4" s="327">
        <v>1740</v>
      </c>
      <c r="E4" s="328">
        <v>1.3162</v>
      </c>
      <c r="F4" s="329" t="e">
        <f>#REF!</f>
        <v>#REF!</v>
      </c>
      <c r="G4" s="327">
        <v>1740</v>
      </c>
      <c r="H4" s="328" t="e">
        <f t="shared" ref="H4:H16" si="0">F4/G4</f>
        <v>#REF!</v>
      </c>
      <c r="I4" s="327" t="e">
        <f t="shared" ref="I4:I9" si="1">F4-C4</f>
        <v>#REF!</v>
      </c>
    </row>
    <row r="5" ht="20.1" customHeight="1" spans="1:9">
      <c r="A5" s="192">
        <v>2</v>
      </c>
      <c r="B5" s="326" t="s">
        <v>10</v>
      </c>
      <c r="C5" s="327">
        <v>1153.74</v>
      </c>
      <c r="D5" s="327">
        <v>825</v>
      </c>
      <c r="E5" s="328">
        <v>1.3985</v>
      </c>
      <c r="F5" s="329" t="e">
        <f>#REF!</f>
        <v>#REF!</v>
      </c>
      <c r="G5" s="327">
        <v>825</v>
      </c>
      <c r="H5" s="328" t="e">
        <f t="shared" si="0"/>
        <v>#REF!</v>
      </c>
      <c r="I5" s="327" t="e">
        <f t="shared" si="1"/>
        <v>#REF!</v>
      </c>
    </row>
    <row r="6" ht="20.1" customHeight="1" spans="1:9">
      <c r="A6" s="192">
        <v>3</v>
      </c>
      <c r="B6" s="326" t="s">
        <v>11</v>
      </c>
      <c r="C6" s="327">
        <v>1917.42</v>
      </c>
      <c r="D6" s="327">
        <v>1370</v>
      </c>
      <c r="E6" s="328">
        <v>1.3995</v>
      </c>
      <c r="F6" s="329" t="e">
        <f>#REF!</f>
        <v>#REF!</v>
      </c>
      <c r="G6" s="327">
        <v>1370</v>
      </c>
      <c r="H6" s="328" t="e">
        <f t="shared" si="0"/>
        <v>#REF!</v>
      </c>
      <c r="I6" s="327" t="e">
        <f t="shared" si="1"/>
        <v>#REF!</v>
      </c>
    </row>
    <row r="7" ht="20.1" customHeight="1" spans="1:9">
      <c r="A7" s="192">
        <v>4</v>
      </c>
      <c r="B7" s="326" t="s">
        <v>12</v>
      </c>
      <c r="C7" s="327">
        <v>491.9</v>
      </c>
      <c r="D7" s="327">
        <v>374</v>
      </c>
      <c r="E7" s="328">
        <v>1.3152</v>
      </c>
      <c r="F7" s="329" t="e">
        <f>#REF!</f>
        <v>#REF!</v>
      </c>
      <c r="G7" s="327">
        <v>374</v>
      </c>
      <c r="H7" s="328" t="e">
        <f t="shared" si="0"/>
        <v>#REF!</v>
      </c>
      <c r="I7" s="327" t="e">
        <f t="shared" si="1"/>
        <v>#REF!</v>
      </c>
    </row>
    <row r="8" ht="20.1" customHeight="1" spans="1:9">
      <c r="A8" s="192">
        <v>5</v>
      </c>
      <c r="B8" s="326" t="s">
        <v>13</v>
      </c>
      <c r="C8" s="327">
        <v>996.9</v>
      </c>
      <c r="D8" s="327">
        <v>730.4</v>
      </c>
      <c r="E8" s="328">
        <v>1.3649</v>
      </c>
      <c r="F8" s="329" t="e">
        <f>#REF!</f>
        <v>#REF!</v>
      </c>
      <c r="G8" s="327">
        <v>925</v>
      </c>
      <c r="H8" s="328" t="e">
        <f t="shared" si="0"/>
        <v>#REF!</v>
      </c>
      <c r="I8" s="327" t="e">
        <f t="shared" si="1"/>
        <v>#REF!</v>
      </c>
    </row>
    <row r="9" ht="20.1" customHeight="1" spans="1:9">
      <c r="A9" s="192">
        <v>6</v>
      </c>
      <c r="B9" s="326" t="s">
        <v>14</v>
      </c>
      <c r="C9" s="327">
        <v>2547.77</v>
      </c>
      <c r="D9" s="327">
        <v>1983</v>
      </c>
      <c r="E9" s="328">
        <v>1.2848</v>
      </c>
      <c r="F9" s="329" t="e">
        <f>#REF!</f>
        <v>#REF!</v>
      </c>
      <c r="G9" s="327">
        <v>1983</v>
      </c>
      <c r="H9" s="328" t="e">
        <f t="shared" si="0"/>
        <v>#REF!</v>
      </c>
      <c r="I9" s="327" t="e">
        <f t="shared" si="1"/>
        <v>#REF!</v>
      </c>
    </row>
    <row r="10" ht="20.1" customHeight="1" spans="1:9">
      <c r="A10" s="191"/>
      <c r="B10" s="191" t="s">
        <v>15</v>
      </c>
      <c r="C10" s="330">
        <f>SUM(C4:C9)</f>
        <v>9397.87</v>
      </c>
      <c r="D10" s="330">
        <f>SUM(D4:D9)</f>
        <v>7022.4</v>
      </c>
      <c r="E10" s="331">
        <f>C10/D10</f>
        <v>1.3383</v>
      </c>
      <c r="F10" s="332" t="e">
        <f>SUM(F4:F9)</f>
        <v>#REF!</v>
      </c>
      <c r="G10" s="330">
        <f>SUM(G4:G9)</f>
        <v>7217</v>
      </c>
      <c r="H10" s="331" t="e">
        <f t="shared" si="0"/>
        <v>#REF!</v>
      </c>
      <c r="I10" s="330" t="e">
        <f>SUM(I4:I9)</f>
        <v>#REF!</v>
      </c>
    </row>
    <row r="11" ht="20.1" customHeight="1" spans="1:9">
      <c r="A11" s="192">
        <v>7</v>
      </c>
      <c r="B11" s="326" t="s">
        <v>16</v>
      </c>
      <c r="C11" s="327">
        <v>1341.73</v>
      </c>
      <c r="D11" s="327">
        <v>1004</v>
      </c>
      <c r="E11" s="328">
        <v>1.3364</v>
      </c>
      <c r="F11" s="329">
        <f>崇明陈家镇!J64</f>
        <v>1284.67</v>
      </c>
      <c r="G11" s="327">
        <v>1004</v>
      </c>
      <c r="H11" s="328">
        <f t="shared" si="0"/>
        <v>1.2796</v>
      </c>
      <c r="I11" s="327">
        <f>F11-C11</f>
        <v>-57.06</v>
      </c>
    </row>
    <row r="12" ht="20.1" customHeight="1" spans="1:9">
      <c r="A12" s="192">
        <v>8</v>
      </c>
      <c r="B12" s="326" t="s">
        <v>17</v>
      </c>
      <c r="C12" s="327">
        <v>2245.09</v>
      </c>
      <c r="D12" s="327">
        <v>1758</v>
      </c>
      <c r="E12" s="328">
        <f>C12/D12</f>
        <v>1.2771</v>
      </c>
      <c r="F12" s="329">
        <f>崇明庙镇!J46</f>
        <v>2195.05</v>
      </c>
      <c r="G12" s="327">
        <v>2394</v>
      </c>
      <c r="H12" s="328">
        <f t="shared" si="0"/>
        <v>0.9169</v>
      </c>
      <c r="I12" s="327">
        <f>F12-C12</f>
        <v>-50.04</v>
      </c>
    </row>
    <row r="13" ht="20.1" customHeight="1" spans="1:9">
      <c r="A13" s="192">
        <v>9</v>
      </c>
      <c r="B13" s="326" t="s">
        <v>18</v>
      </c>
      <c r="C13" s="327">
        <v>1507.17</v>
      </c>
      <c r="D13" s="327">
        <v>1331.86</v>
      </c>
      <c r="E13" s="328">
        <f>C13/D13</f>
        <v>1.1316</v>
      </c>
      <c r="F13" s="329">
        <f>崇明城桥镇!J58</f>
        <v>1394.15</v>
      </c>
      <c r="G13" s="327">
        <v>1331.86</v>
      </c>
      <c r="H13" s="328">
        <f t="shared" si="0"/>
        <v>1.0468</v>
      </c>
      <c r="I13" s="327">
        <f>F13-C13</f>
        <v>-113.02</v>
      </c>
    </row>
    <row r="14" ht="20.1" customHeight="1" spans="1:9">
      <c r="A14" s="192">
        <v>10</v>
      </c>
      <c r="B14" s="326" t="s">
        <v>19</v>
      </c>
      <c r="C14" s="327">
        <v>4174.78</v>
      </c>
      <c r="D14" s="327">
        <v>6383</v>
      </c>
      <c r="E14" s="328">
        <f>C14/D14</f>
        <v>0.654</v>
      </c>
      <c r="F14" s="329">
        <f>崇明新村!J50</f>
        <v>4075.74</v>
      </c>
      <c r="G14" s="327">
        <v>6383</v>
      </c>
      <c r="H14" s="328">
        <f t="shared" si="0"/>
        <v>0.6385</v>
      </c>
      <c r="I14" s="327">
        <f>F14-C14</f>
        <v>-99.04</v>
      </c>
    </row>
    <row r="15" ht="20.1" customHeight="1" spans="1:9">
      <c r="A15" s="191"/>
      <c r="B15" s="191" t="s">
        <v>15</v>
      </c>
      <c r="C15" s="330">
        <f>SUM(C11:C14)</f>
        <v>9268.77</v>
      </c>
      <c r="D15" s="330">
        <f>SUM(D11:D14)</f>
        <v>10476.86</v>
      </c>
      <c r="E15" s="331">
        <f>C15/D15</f>
        <v>0.8847</v>
      </c>
      <c r="F15" s="332">
        <f>SUM(F11:F14)</f>
        <v>8949.61</v>
      </c>
      <c r="G15" s="330">
        <f>SUM(G11:G14)</f>
        <v>11112.86</v>
      </c>
      <c r="H15" s="331">
        <f t="shared" si="0"/>
        <v>0.8053</v>
      </c>
      <c r="I15" s="330">
        <f>SUM(I11:I14)</f>
        <v>-319.16</v>
      </c>
    </row>
    <row r="16" ht="20.1" customHeight="1" spans="1:9">
      <c r="A16" s="192">
        <v>11</v>
      </c>
      <c r="B16" s="326" t="s">
        <v>20</v>
      </c>
      <c r="C16" s="327">
        <v>4159.46</v>
      </c>
      <c r="D16" s="327">
        <v>3546</v>
      </c>
      <c r="E16" s="328">
        <v>1.173</v>
      </c>
      <c r="F16" s="329">
        <f>光明跃进!J48</f>
        <v>2851.7</v>
      </c>
      <c r="G16" s="327">
        <v>3546</v>
      </c>
      <c r="H16" s="328">
        <f t="shared" si="0"/>
        <v>0.8042</v>
      </c>
      <c r="I16" s="327">
        <f>F16-C16</f>
        <v>-1307.76</v>
      </c>
    </row>
    <row r="17" ht="20.1" customHeight="1" spans="1:9">
      <c r="A17" s="192"/>
      <c r="B17" s="191" t="s">
        <v>15</v>
      </c>
      <c r="C17" s="330">
        <f>C16</f>
        <v>4159.46</v>
      </c>
      <c r="D17" s="330">
        <f t="shared" ref="D17:I17" si="2">D16</f>
        <v>3546</v>
      </c>
      <c r="E17" s="331">
        <f t="shared" si="2"/>
        <v>1.173</v>
      </c>
      <c r="F17" s="332">
        <f t="shared" si="2"/>
        <v>2851.7</v>
      </c>
      <c r="G17" s="330">
        <f t="shared" si="2"/>
        <v>3546</v>
      </c>
      <c r="H17" s="331">
        <f t="shared" si="2"/>
        <v>0.8042</v>
      </c>
      <c r="I17" s="330">
        <f t="shared" si="2"/>
        <v>-1307.76</v>
      </c>
    </row>
    <row r="18" ht="20.1" customHeight="1" spans="1:9">
      <c r="A18" s="192">
        <v>12</v>
      </c>
      <c r="B18" s="326" t="s">
        <v>21</v>
      </c>
      <c r="C18" s="327">
        <v>4489.19</v>
      </c>
      <c r="D18" s="327">
        <v>3725.54</v>
      </c>
      <c r="E18" s="328">
        <f>C18/D18</f>
        <v>1.205</v>
      </c>
      <c r="F18" s="329">
        <f>地产北湖!J44</f>
        <v>4508.52</v>
      </c>
      <c r="G18" s="327">
        <v>3725.54</v>
      </c>
      <c r="H18" s="328">
        <f>F18/G18</f>
        <v>1.2102</v>
      </c>
      <c r="I18" s="327">
        <f>F18-C18</f>
        <v>19.33</v>
      </c>
    </row>
    <row r="19" ht="20.1" customHeight="1" spans="1:9">
      <c r="A19" s="192"/>
      <c r="B19" s="191" t="s">
        <v>15</v>
      </c>
      <c r="C19" s="330">
        <f>C18</f>
        <v>4489.19</v>
      </c>
      <c r="D19" s="330">
        <f t="shared" ref="D19" si="3">D18</f>
        <v>3725.54</v>
      </c>
      <c r="E19" s="331">
        <f t="shared" ref="E19" si="4">E18</f>
        <v>1.205</v>
      </c>
      <c r="F19" s="332">
        <f t="shared" ref="F19" si="5">F18</f>
        <v>4508.52</v>
      </c>
      <c r="G19" s="330">
        <f t="shared" ref="G19:H19" si="6">G18</f>
        <v>3725.54</v>
      </c>
      <c r="H19" s="331">
        <f t="shared" si="6"/>
        <v>1.2102</v>
      </c>
      <c r="I19" s="330">
        <f t="shared" ref="I19" si="7">I18</f>
        <v>19.33</v>
      </c>
    </row>
    <row r="20" ht="20.1" customHeight="1" spans="1:9">
      <c r="A20" s="324"/>
      <c r="B20" s="324" t="s">
        <v>22</v>
      </c>
      <c r="C20" s="333">
        <f>C10+C15+C17+C19</f>
        <v>27315.29</v>
      </c>
      <c r="D20" s="333">
        <f>D10+D15+D17+D19</f>
        <v>24770.8</v>
      </c>
      <c r="E20" s="334">
        <f>C20/D20</f>
        <v>1.1027</v>
      </c>
      <c r="F20" s="335" t="e">
        <f>F10+F15+F17+F19</f>
        <v>#REF!</v>
      </c>
      <c r="G20" s="333">
        <f>G10+G15+G17+G19</f>
        <v>25601.4</v>
      </c>
      <c r="H20" s="334" t="e">
        <f>F20/G20</f>
        <v>#REF!</v>
      </c>
      <c r="I20" s="333" t="e">
        <f>F20-C20</f>
        <v>#REF!</v>
      </c>
    </row>
  </sheetData>
  <mergeCells count="6">
    <mergeCell ref="A1:I1"/>
    <mergeCell ref="C2:E2"/>
    <mergeCell ref="F2:H2"/>
    <mergeCell ref="A2:A3"/>
    <mergeCell ref="B2:B3"/>
    <mergeCell ref="I2:I3"/>
  </mergeCells>
  <printOptions horizontalCentered="1" verticalCentered="1"/>
  <pageMargins left="0.707638888888889" right="0.707638888888889" top="0.747916666666667"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selection activeCell="B70" sqref="B70"/>
    </sheetView>
  </sheetViews>
  <sheetFormatPr defaultColWidth="9" defaultRowHeight="13.5"/>
  <cols>
    <col min="1" max="1" width="7.75" customWidth="1"/>
    <col min="2" max="2" width="32.625" customWidth="1"/>
    <col min="3" max="3" width="8.625" customWidth="1"/>
    <col min="4" max="6" width="12.625" customWidth="1"/>
  </cols>
  <sheetData>
    <row r="1" ht="18.75" spans="1:2">
      <c r="A1" s="111" t="s">
        <v>418</v>
      </c>
      <c r="B1" s="111"/>
    </row>
    <row r="2" s="62" customFormat="1" ht="20.75" customHeight="1" spans="1:6">
      <c r="A2" s="68" t="s">
        <v>419</v>
      </c>
      <c r="B2" s="68"/>
      <c r="C2" s="68"/>
      <c r="D2" s="68"/>
      <c r="E2" s="68"/>
      <c r="F2" s="68"/>
    </row>
    <row r="3" s="62" customFormat="1" ht="20.75" customHeight="1" spans="1:6">
      <c r="A3" s="112"/>
      <c r="B3" s="113"/>
      <c r="C3" s="112"/>
      <c r="D3" s="112"/>
      <c r="E3" s="151"/>
      <c r="F3" s="114"/>
    </row>
    <row r="4" s="30" customFormat="1" ht="27" customHeight="1" spans="1:6">
      <c r="A4" s="69" t="s">
        <v>1</v>
      </c>
      <c r="B4" s="70" t="s">
        <v>332</v>
      </c>
      <c r="C4" s="71" t="s">
        <v>28</v>
      </c>
      <c r="D4" s="71" t="s">
        <v>29</v>
      </c>
      <c r="E4" s="72" t="s">
        <v>30</v>
      </c>
      <c r="F4" s="72" t="s">
        <v>31</v>
      </c>
    </row>
    <row r="5" s="109" customFormat="1" ht="16.5" customHeight="1" spans="1:6">
      <c r="A5" s="152" t="s">
        <v>32</v>
      </c>
      <c r="B5" s="153" t="s">
        <v>33</v>
      </c>
      <c r="C5" s="154"/>
      <c r="D5" s="155"/>
      <c r="E5" s="156"/>
      <c r="F5" s="157">
        <f>F6+F8+F39+F43</f>
        <v>855.24</v>
      </c>
    </row>
    <row r="6" s="109" customFormat="1" ht="16.5" customHeight="1" outlineLevel="1" spans="1:6">
      <c r="A6" s="158" t="s">
        <v>34</v>
      </c>
      <c r="B6" s="159" t="s">
        <v>35</v>
      </c>
      <c r="C6" s="160"/>
      <c r="D6" s="156"/>
      <c r="E6" s="156"/>
      <c r="F6" s="161">
        <f>SUM(F7)</f>
        <v>6.7</v>
      </c>
    </row>
    <row r="7" s="109" customFormat="1" ht="16.5" customHeight="1" outlineLevel="2" spans="1:6">
      <c r="A7" s="162"/>
      <c r="B7" s="163" t="s">
        <v>35</v>
      </c>
      <c r="C7" s="164" t="s">
        <v>36</v>
      </c>
      <c r="D7" s="165">
        <v>134</v>
      </c>
      <c r="E7" s="166">
        <v>500</v>
      </c>
      <c r="F7" s="166">
        <f t="shared" ref="F7:F11" si="0">D7*E7/10000</f>
        <v>6.7</v>
      </c>
    </row>
    <row r="8" s="110" customFormat="1" ht="16.5" customHeight="1" outlineLevel="1" spans="1:6">
      <c r="A8" s="158" t="s">
        <v>37</v>
      </c>
      <c r="B8" s="159" t="s">
        <v>38</v>
      </c>
      <c r="C8" s="167"/>
      <c r="D8" s="168"/>
      <c r="E8" s="168"/>
      <c r="F8" s="161">
        <f>F9+F12+F33</f>
        <v>709.09</v>
      </c>
    </row>
    <row r="9" s="110" customFormat="1" ht="16.5" customHeight="1" outlineLevel="2" spans="1:6">
      <c r="A9" s="162" t="s">
        <v>39</v>
      </c>
      <c r="B9" s="163" t="s">
        <v>183</v>
      </c>
      <c r="C9" s="164" t="s">
        <v>41</v>
      </c>
      <c r="D9" s="165">
        <v>2</v>
      </c>
      <c r="E9" s="168"/>
      <c r="F9" s="161">
        <f>SUM(F10:F11)</f>
        <v>94</v>
      </c>
    </row>
    <row r="10" s="110" customFormat="1" ht="16.5" customHeight="1" outlineLevel="2" spans="1:6">
      <c r="A10" s="162" t="s">
        <v>43</v>
      </c>
      <c r="B10" s="169" t="s">
        <v>44</v>
      </c>
      <c r="C10" s="164" t="s">
        <v>41</v>
      </c>
      <c r="D10" s="165">
        <v>2</v>
      </c>
      <c r="E10" s="166">
        <v>350000</v>
      </c>
      <c r="F10" s="170">
        <f t="shared" si="0"/>
        <v>70</v>
      </c>
    </row>
    <row r="11" s="110" customFormat="1" ht="16.5" customHeight="1" outlineLevel="2" spans="1:6">
      <c r="A11" s="162" t="s">
        <v>46</v>
      </c>
      <c r="B11" s="169" t="s">
        <v>47</v>
      </c>
      <c r="C11" s="164" t="s">
        <v>41</v>
      </c>
      <c r="D11" s="165">
        <v>2</v>
      </c>
      <c r="E11" s="166">
        <v>120000</v>
      </c>
      <c r="F11" s="170">
        <f t="shared" si="0"/>
        <v>24</v>
      </c>
    </row>
    <row r="12" s="110" customFormat="1" ht="16.5" customHeight="1" outlineLevel="2" spans="1:6">
      <c r="A12" s="162" t="s">
        <v>52</v>
      </c>
      <c r="B12" s="163" t="s">
        <v>334</v>
      </c>
      <c r="C12" s="171"/>
      <c r="D12" s="166"/>
      <c r="E12" s="166"/>
      <c r="F12" s="161">
        <f>SUM(F13:F32)</f>
        <v>458</v>
      </c>
    </row>
    <row r="13" s="110" customFormat="1" ht="16.5" customHeight="1" outlineLevel="2" spans="1:7">
      <c r="A13" s="162" t="s">
        <v>43</v>
      </c>
      <c r="B13" s="169" t="s">
        <v>420</v>
      </c>
      <c r="C13" s="164" t="s">
        <v>51</v>
      </c>
      <c r="D13" s="166">
        <v>810</v>
      </c>
      <c r="E13" s="166">
        <v>971.7</v>
      </c>
      <c r="F13" s="170">
        <f t="shared" ref="F13:F33" si="1">D13*E13/10000</f>
        <v>78.71</v>
      </c>
      <c r="G13" s="172"/>
    </row>
    <row r="14" s="110" customFormat="1" ht="16.5" customHeight="1" outlineLevel="2" spans="1:7">
      <c r="A14" s="162" t="s">
        <v>46</v>
      </c>
      <c r="B14" s="169" t="s">
        <v>421</v>
      </c>
      <c r="C14" s="164" t="s">
        <v>51</v>
      </c>
      <c r="D14" s="166">
        <v>960</v>
      </c>
      <c r="E14" s="166">
        <v>650</v>
      </c>
      <c r="F14" s="170">
        <f t="shared" si="1"/>
        <v>62.4</v>
      </c>
      <c r="G14" s="172"/>
    </row>
    <row r="15" s="110" customFormat="1" ht="16.5" customHeight="1" outlineLevel="2" spans="1:7">
      <c r="A15" s="162" t="s">
        <v>49</v>
      </c>
      <c r="B15" s="169" t="s">
        <v>422</v>
      </c>
      <c r="C15" s="164" t="s">
        <v>51</v>
      </c>
      <c r="D15" s="166">
        <v>4290</v>
      </c>
      <c r="E15" s="166">
        <v>260</v>
      </c>
      <c r="F15" s="170">
        <f t="shared" si="1"/>
        <v>111.54</v>
      </c>
      <c r="G15" s="172"/>
    </row>
    <row r="16" s="110" customFormat="1" ht="16.5" customHeight="1" outlineLevel="2" spans="1:7">
      <c r="A16" s="162" t="s">
        <v>62</v>
      </c>
      <c r="B16" s="169" t="s">
        <v>423</v>
      </c>
      <c r="C16" s="164" t="s">
        <v>51</v>
      </c>
      <c r="D16" s="166">
        <v>1620</v>
      </c>
      <c r="E16" s="166">
        <v>195</v>
      </c>
      <c r="F16" s="170">
        <f t="shared" si="1"/>
        <v>31.59</v>
      </c>
      <c r="G16" s="172"/>
    </row>
    <row r="17" s="110" customFormat="1" ht="16.5" customHeight="1" outlineLevel="2" spans="1:7">
      <c r="A17" s="162" t="s">
        <v>65</v>
      </c>
      <c r="B17" s="169" t="s">
        <v>424</v>
      </c>
      <c r="C17" s="164" t="s">
        <v>51</v>
      </c>
      <c r="D17" s="166">
        <v>170</v>
      </c>
      <c r="E17" s="166">
        <v>150</v>
      </c>
      <c r="F17" s="170">
        <f t="shared" si="1"/>
        <v>2.55</v>
      </c>
      <c r="G17" s="172"/>
    </row>
    <row r="18" s="150" customFormat="1" ht="16.5" customHeight="1" outlineLevel="2" spans="1:7">
      <c r="A18" s="173" t="s">
        <v>68</v>
      </c>
      <c r="B18" s="174" t="s">
        <v>425</v>
      </c>
      <c r="C18" s="164" t="s">
        <v>95</v>
      </c>
      <c r="D18" s="166">
        <v>1</v>
      </c>
      <c r="E18" s="166">
        <f>299100*0.5</f>
        <v>149550</v>
      </c>
      <c r="F18" s="175">
        <f t="shared" si="1"/>
        <v>14.96</v>
      </c>
      <c r="G18" s="176"/>
    </row>
    <row r="19" s="110" customFormat="1" ht="16.5" customHeight="1" outlineLevel="2" spans="1:7">
      <c r="A19" s="162" t="s">
        <v>136</v>
      </c>
      <c r="B19" s="169" t="s">
        <v>426</v>
      </c>
      <c r="C19" s="164" t="s">
        <v>51</v>
      </c>
      <c r="D19" s="166">
        <v>20</v>
      </c>
      <c r="E19" s="166">
        <v>2800</v>
      </c>
      <c r="F19" s="170">
        <f t="shared" si="1"/>
        <v>5.6</v>
      </c>
      <c r="G19" s="172"/>
    </row>
    <row r="20" s="110" customFormat="1" ht="16.5" customHeight="1" outlineLevel="2" spans="1:7">
      <c r="A20" s="162" t="s">
        <v>138</v>
      </c>
      <c r="B20" s="169" t="s">
        <v>427</v>
      </c>
      <c r="C20" s="164" t="s">
        <v>51</v>
      </c>
      <c r="D20" s="166">
        <v>15</v>
      </c>
      <c r="E20" s="166">
        <v>2000</v>
      </c>
      <c r="F20" s="170">
        <f t="shared" si="1"/>
        <v>3</v>
      </c>
      <c r="G20" s="172"/>
    </row>
    <row r="21" s="110" customFormat="1" ht="16.5" customHeight="1" outlineLevel="2" spans="1:7">
      <c r="A21" s="162" t="s">
        <v>140</v>
      </c>
      <c r="B21" s="169" t="s">
        <v>428</v>
      </c>
      <c r="C21" s="164" t="s">
        <v>51</v>
      </c>
      <c r="D21" s="166">
        <v>95.5</v>
      </c>
      <c r="E21" s="166">
        <v>1400</v>
      </c>
      <c r="F21" s="170">
        <f t="shared" si="1"/>
        <v>13.37</v>
      </c>
      <c r="G21" s="172"/>
    </row>
    <row r="22" s="110" customFormat="1" ht="16.5" customHeight="1" outlineLevel="2" spans="1:7">
      <c r="A22" s="162" t="s">
        <v>143</v>
      </c>
      <c r="B22" s="169" t="s">
        <v>429</v>
      </c>
      <c r="C22" s="164" t="s">
        <v>51</v>
      </c>
      <c r="D22" s="166">
        <v>39.5</v>
      </c>
      <c r="E22" s="166">
        <v>800</v>
      </c>
      <c r="F22" s="170">
        <f t="shared" si="1"/>
        <v>3.16</v>
      </c>
      <c r="G22" s="172"/>
    </row>
    <row r="23" s="110" customFormat="1" ht="16.5" customHeight="1" outlineLevel="2" spans="1:7">
      <c r="A23" s="162" t="s">
        <v>145</v>
      </c>
      <c r="B23" s="169" t="s">
        <v>430</v>
      </c>
      <c r="C23" s="164" t="s">
        <v>51</v>
      </c>
      <c r="D23" s="166">
        <v>10</v>
      </c>
      <c r="E23" s="166">
        <v>450</v>
      </c>
      <c r="F23" s="170">
        <f t="shared" si="1"/>
        <v>0.45</v>
      </c>
      <c r="G23" s="172"/>
    </row>
    <row r="24" s="110" customFormat="1" ht="16.5" customHeight="1" outlineLevel="2" spans="1:7">
      <c r="A24" s="162" t="s">
        <v>148</v>
      </c>
      <c r="B24" s="169" t="s">
        <v>431</v>
      </c>
      <c r="C24" s="164" t="s">
        <v>41</v>
      </c>
      <c r="D24" s="166">
        <v>234</v>
      </c>
      <c r="E24" s="166">
        <v>1230.59</v>
      </c>
      <c r="F24" s="170">
        <f t="shared" si="1"/>
        <v>28.8</v>
      </c>
      <c r="G24" s="172"/>
    </row>
    <row r="25" s="110" customFormat="1" ht="16.5" customHeight="1" outlineLevel="2" spans="1:7">
      <c r="A25" s="162" t="s">
        <v>151</v>
      </c>
      <c r="B25" s="169" t="s">
        <v>432</v>
      </c>
      <c r="C25" s="164" t="s">
        <v>41</v>
      </c>
      <c r="D25" s="166">
        <v>16</v>
      </c>
      <c r="E25" s="166">
        <v>5331.59</v>
      </c>
      <c r="F25" s="170">
        <f t="shared" si="1"/>
        <v>8.53</v>
      </c>
      <c r="G25" s="172"/>
    </row>
    <row r="26" s="110" customFormat="1" ht="16.5" customHeight="1" outlineLevel="2" spans="1:7">
      <c r="A26" s="162" t="s">
        <v>153</v>
      </c>
      <c r="B26" s="177" t="s">
        <v>433</v>
      </c>
      <c r="C26" s="164" t="s">
        <v>51</v>
      </c>
      <c r="D26" s="166">
        <v>135</v>
      </c>
      <c r="E26" s="166">
        <v>2946.5</v>
      </c>
      <c r="F26" s="170">
        <f t="shared" si="1"/>
        <v>39.78</v>
      </c>
      <c r="G26" s="172"/>
    </row>
    <row r="27" s="110" customFormat="1" ht="16.5" customHeight="1" outlineLevel="2" spans="1:7">
      <c r="A27" s="162" t="s">
        <v>155</v>
      </c>
      <c r="B27" s="177" t="s">
        <v>434</v>
      </c>
      <c r="C27" s="164" t="s">
        <v>51</v>
      </c>
      <c r="D27" s="166">
        <v>70</v>
      </c>
      <c r="E27" s="166">
        <v>2300</v>
      </c>
      <c r="F27" s="170">
        <f t="shared" si="1"/>
        <v>16.1</v>
      </c>
      <c r="G27" s="172"/>
    </row>
    <row r="28" s="110" customFormat="1" ht="16.5" customHeight="1" outlineLevel="2" spans="1:7">
      <c r="A28" s="162" t="s">
        <v>157</v>
      </c>
      <c r="B28" s="177" t="s">
        <v>435</v>
      </c>
      <c r="C28" s="164" t="s">
        <v>51</v>
      </c>
      <c r="D28" s="166">
        <v>25</v>
      </c>
      <c r="E28" s="166">
        <v>1810.32</v>
      </c>
      <c r="F28" s="170">
        <f t="shared" si="1"/>
        <v>4.53</v>
      </c>
      <c r="G28" s="172"/>
    </row>
    <row r="29" s="110" customFormat="1" ht="16.5" customHeight="1" outlineLevel="2" spans="1:7">
      <c r="A29" s="162" t="s">
        <v>160</v>
      </c>
      <c r="B29" s="169" t="s">
        <v>436</v>
      </c>
      <c r="C29" s="164" t="s">
        <v>41</v>
      </c>
      <c r="D29" s="166">
        <v>5</v>
      </c>
      <c r="E29" s="166">
        <v>14023.61</v>
      </c>
      <c r="F29" s="170">
        <f t="shared" si="1"/>
        <v>7.01</v>
      </c>
      <c r="G29" s="172"/>
    </row>
    <row r="30" s="110" customFormat="1" ht="16.5" customHeight="1" outlineLevel="2" spans="1:7">
      <c r="A30" s="162" t="s">
        <v>347</v>
      </c>
      <c r="B30" s="169" t="s">
        <v>437</v>
      </c>
      <c r="C30" s="164" t="s">
        <v>41</v>
      </c>
      <c r="D30" s="166">
        <v>4</v>
      </c>
      <c r="E30" s="166">
        <v>13927.63</v>
      </c>
      <c r="F30" s="170">
        <f t="shared" si="1"/>
        <v>5.57</v>
      </c>
      <c r="G30" s="172"/>
    </row>
    <row r="31" s="110" customFormat="1" ht="16.5" customHeight="1" outlineLevel="2" spans="1:7">
      <c r="A31" s="162" t="s">
        <v>349</v>
      </c>
      <c r="B31" s="169" t="s">
        <v>438</v>
      </c>
      <c r="C31" s="164" t="s">
        <v>41</v>
      </c>
      <c r="D31" s="166">
        <v>2</v>
      </c>
      <c r="E31" s="166">
        <v>9946.78</v>
      </c>
      <c r="F31" s="170">
        <f t="shared" si="1"/>
        <v>1.99</v>
      </c>
      <c r="G31" s="172"/>
    </row>
    <row r="32" s="110" customFormat="1" ht="16.5" customHeight="1" outlineLevel="2" spans="1:7">
      <c r="A32" s="162" t="s">
        <v>351</v>
      </c>
      <c r="B32" s="169" t="s">
        <v>439</v>
      </c>
      <c r="C32" s="164" t="s">
        <v>41</v>
      </c>
      <c r="D32" s="166">
        <v>5</v>
      </c>
      <c r="E32" s="166">
        <v>36721.52</v>
      </c>
      <c r="F32" s="170">
        <f t="shared" si="1"/>
        <v>18.36</v>
      </c>
      <c r="G32" s="172"/>
    </row>
    <row r="33" s="110" customFormat="1" ht="16.5" customHeight="1" outlineLevel="2" spans="1:7">
      <c r="A33" s="162">
        <v>4</v>
      </c>
      <c r="B33" s="163" t="s">
        <v>162</v>
      </c>
      <c r="C33" s="171"/>
      <c r="D33" s="166"/>
      <c r="E33" s="166"/>
      <c r="F33" s="161">
        <f>SUM(F34:F38)</f>
        <v>157.09</v>
      </c>
      <c r="G33" s="172"/>
    </row>
    <row r="34" s="110" customFormat="1" ht="16.5" customHeight="1" outlineLevel="2" spans="1:7">
      <c r="A34" s="162" t="s">
        <v>43</v>
      </c>
      <c r="B34" s="169" t="s">
        <v>440</v>
      </c>
      <c r="C34" s="164" t="s">
        <v>51</v>
      </c>
      <c r="D34" s="166">
        <f>4331-391-230</f>
        <v>3710</v>
      </c>
      <c r="E34" s="166">
        <v>346.17</v>
      </c>
      <c r="F34" s="170">
        <f t="shared" ref="F34:F38" si="2">D34*E34/10000</f>
        <v>128.43</v>
      </c>
      <c r="G34" s="172"/>
    </row>
    <row r="35" s="109" customFormat="1" ht="16.5" customHeight="1" outlineLevel="2" spans="1:7">
      <c r="A35" s="162" t="s">
        <v>46</v>
      </c>
      <c r="B35" s="169" t="s">
        <v>441</v>
      </c>
      <c r="C35" s="164" t="s">
        <v>51</v>
      </c>
      <c r="D35" s="166">
        <v>197</v>
      </c>
      <c r="E35" s="166">
        <v>149.15</v>
      </c>
      <c r="F35" s="170">
        <f t="shared" si="2"/>
        <v>2.94</v>
      </c>
      <c r="G35" s="172"/>
    </row>
    <row r="36" s="109" customFormat="1" ht="16.5" customHeight="1" outlineLevel="2" spans="1:7">
      <c r="A36" s="162" t="s">
        <v>49</v>
      </c>
      <c r="B36" s="169" t="s">
        <v>442</v>
      </c>
      <c r="C36" s="164" t="s">
        <v>356</v>
      </c>
      <c r="D36" s="166">
        <f>19-3</f>
        <v>16</v>
      </c>
      <c r="E36" s="166">
        <v>5282.96</v>
      </c>
      <c r="F36" s="170">
        <f t="shared" si="2"/>
        <v>8.45</v>
      </c>
      <c r="G36" s="172"/>
    </row>
    <row r="37" s="109" customFormat="1" ht="16.5" customHeight="1" outlineLevel="2" spans="1:7">
      <c r="A37" s="162" t="s">
        <v>62</v>
      </c>
      <c r="B37" s="169" t="s">
        <v>443</v>
      </c>
      <c r="C37" s="164" t="s">
        <v>356</v>
      </c>
      <c r="D37" s="166">
        <f>36-2</f>
        <v>34</v>
      </c>
      <c r="E37" s="166">
        <v>4873.62</v>
      </c>
      <c r="F37" s="170">
        <f t="shared" si="2"/>
        <v>16.57</v>
      </c>
      <c r="G37" s="172"/>
    </row>
    <row r="38" s="109" customFormat="1" ht="16.5" customHeight="1" outlineLevel="2" spans="1:7">
      <c r="A38" s="162" t="s">
        <v>65</v>
      </c>
      <c r="B38" s="169" t="s">
        <v>444</v>
      </c>
      <c r="C38" s="164" t="s">
        <v>356</v>
      </c>
      <c r="D38" s="166">
        <v>53</v>
      </c>
      <c r="E38" s="166">
        <v>132.04</v>
      </c>
      <c r="F38" s="170">
        <f t="shared" si="2"/>
        <v>0.7</v>
      </c>
      <c r="G38" s="172"/>
    </row>
    <row r="39" s="110" customFormat="1" ht="16.5" customHeight="1" outlineLevel="1" spans="1:6">
      <c r="A39" s="158" t="s">
        <v>71</v>
      </c>
      <c r="B39" s="159" t="s">
        <v>72</v>
      </c>
      <c r="C39" s="178"/>
      <c r="D39" s="166"/>
      <c r="E39" s="166"/>
      <c r="F39" s="161">
        <f>SUM(F40:F42)</f>
        <v>130.44</v>
      </c>
    </row>
    <row r="40" s="110" customFormat="1" ht="16.5" customHeight="1" outlineLevel="2" spans="1:6">
      <c r="A40" s="162" t="s">
        <v>39</v>
      </c>
      <c r="B40" s="163" t="s">
        <v>445</v>
      </c>
      <c r="C40" s="92" t="s">
        <v>218</v>
      </c>
      <c r="D40" s="166">
        <f>4522.5-342.5-75</f>
        <v>4105</v>
      </c>
      <c r="E40" s="166">
        <v>225</v>
      </c>
      <c r="F40" s="170">
        <f t="shared" ref="F40:F42" si="3">D40*E40/10000</f>
        <v>92.36</v>
      </c>
    </row>
    <row r="41" s="110" customFormat="1" ht="16.5" customHeight="1" outlineLevel="2" spans="1:6">
      <c r="A41" s="162" t="s">
        <v>52</v>
      </c>
      <c r="B41" s="163" t="s">
        <v>445</v>
      </c>
      <c r="C41" s="92" t="s">
        <v>218</v>
      </c>
      <c r="D41" s="166">
        <v>1132.5</v>
      </c>
      <c r="E41" s="166">
        <v>225</v>
      </c>
      <c r="F41" s="170">
        <f t="shared" si="3"/>
        <v>25.48</v>
      </c>
    </row>
    <row r="42" s="110" customFormat="1" ht="16.5" customHeight="1" outlineLevel="2" spans="1:6">
      <c r="A42" s="162" t="s">
        <v>78</v>
      </c>
      <c r="B42" s="163" t="s">
        <v>446</v>
      </c>
      <c r="C42" s="92" t="s">
        <v>218</v>
      </c>
      <c r="D42" s="166">
        <v>504</v>
      </c>
      <c r="E42" s="166">
        <v>250</v>
      </c>
      <c r="F42" s="170">
        <f t="shared" si="3"/>
        <v>12.6</v>
      </c>
    </row>
    <row r="43" s="110" customFormat="1" ht="16.5" customHeight="1" outlineLevel="1" spans="1:9">
      <c r="A43" s="158" t="s">
        <v>92</v>
      </c>
      <c r="B43" s="159" t="s">
        <v>93</v>
      </c>
      <c r="C43" s="179"/>
      <c r="D43" s="166"/>
      <c r="E43" s="166"/>
      <c r="F43" s="161">
        <f>SUM(F44:F47)</f>
        <v>9.01</v>
      </c>
      <c r="G43" s="136"/>
      <c r="H43" s="136"/>
      <c r="I43" s="136"/>
    </row>
    <row r="44" s="110" customFormat="1" ht="16.5" customHeight="1" outlineLevel="2" spans="1:9">
      <c r="A44" s="162">
        <v>1</v>
      </c>
      <c r="B44" s="163" t="s">
        <v>222</v>
      </c>
      <c r="C44" s="164" t="s">
        <v>51</v>
      </c>
      <c r="D44" s="166">
        <v>200</v>
      </c>
      <c r="E44" s="166">
        <v>120</v>
      </c>
      <c r="F44" s="170">
        <f t="shared" ref="F44:F46" si="4">D44*E44/10000</f>
        <v>2.4</v>
      </c>
      <c r="G44" s="136"/>
      <c r="H44" s="136"/>
      <c r="I44" s="136"/>
    </row>
    <row r="45" s="110" customFormat="1" ht="16.5" customHeight="1" outlineLevel="2" spans="1:9">
      <c r="A45" s="162" t="s">
        <v>52</v>
      </c>
      <c r="B45" s="163" t="s">
        <v>447</v>
      </c>
      <c r="C45" s="164" t="s">
        <v>51</v>
      </c>
      <c r="D45" s="166">
        <v>120</v>
      </c>
      <c r="E45" s="166">
        <v>234</v>
      </c>
      <c r="F45" s="170">
        <f t="shared" si="4"/>
        <v>2.81</v>
      </c>
      <c r="G45" s="136"/>
      <c r="H45" s="136"/>
      <c r="I45" s="136"/>
    </row>
    <row r="46" s="110" customFormat="1" ht="16.5" customHeight="1" outlineLevel="2" spans="1:9">
      <c r="A46" s="162" t="s">
        <v>78</v>
      </c>
      <c r="B46" s="163" t="s">
        <v>448</v>
      </c>
      <c r="C46" s="164" t="s">
        <v>60</v>
      </c>
      <c r="D46" s="166">
        <v>2</v>
      </c>
      <c r="E46" s="166">
        <v>6500</v>
      </c>
      <c r="F46" s="170">
        <f t="shared" si="4"/>
        <v>1.3</v>
      </c>
      <c r="G46" s="136"/>
      <c r="H46" s="136"/>
      <c r="I46" s="136"/>
    </row>
    <row r="47" s="110" customFormat="1" ht="16.5" customHeight="1" outlineLevel="2" spans="1:9">
      <c r="A47" s="162" t="s">
        <v>80</v>
      </c>
      <c r="B47" s="163" t="s">
        <v>449</v>
      </c>
      <c r="C47" s="164"/>
      <c r="D47" s="166"/>
      <c r="E47" s="166"/>
      <c r="F47" s="170">
        <f>SUM(F48:F49)</f>
        <v>2.5</v>
      </c>
      <c r="G47" s="136"/>
      <c r="H47" s="136"/>
      <c r="I47" s="136"/>
    </row>
    <row r="48" s="109" customFormat="1" ht="16.5" customHeight="1" outlineLevel="2" spans="1:6">
      <c r="A48" s="162" t="s">
        <v>43</v>
      </c>
      <c r="B48" s="169" t="s">
        <v>224</v>
      </c>
      <c r="C48" s="164" t="s">
        <v>225</v>
      </c>
      <c r="D48" s="166">
        <v>2</v>
      </c>
      <c r="E48" s="166">
        <v>6000</v>
      </c>
      <c r="F48" s="170">
        <f>D48*E48/10000</f>
        <v>1.2</v>
      </c>
    </row>
    <row r="49" s="109" customFormat="1" ht="16.5" customHeight="1" outlineLevel="2" spans="1:6">
      <c r="A49" s="162" t="s">
        <v>46</v>
      </c>
      <c r="B49" s="169" t="s">
        <v>450</v>
      </c>
      <c r="C49" s="164" t="s">
        <v>225</v>
      </c>
      <c r="D49" s="166">
        <v>2</v>
      </c>
      <c r="E49" s="166">
        <v>6500</v>
      </c>
      <c r="F49" s="170">
        <f>D49*E49/10000</f>
        <v>1.3</v>
      </c>
    </row>
    <row r="50" s="109" customFormat="1" ht="16.5" customHeight="1" spans="1:6">
      <c r="A50" s="152" t="s">
        <v>100</v>
      </c>
      <c r="B50" s="153" t="s">
        <v>101</v>
      </c>
      <c r="C50" s="154"/>
      <c r="D50" s="166"/>
      <c r="E50" s="166"/>
      <c r="F50" s="180">
        <f>SUM(F51:F59)</f>
        <v>74.9</v>
      </c>
    </row>
    <row r="51" s="110" customFormat="1" ht="16.5" customHeight="1" spans="1:6">
      <c r="A51" s="181" t="s">
        <v>39</v>
      </c>
      <c r="B51" s="182" t="s">
        <v>371</v>
      </c>
      <c r="C51" s="179"/>
      <c r="D51" s="166"/>
      <c r="E51" s="166"/>
      <c r="F51" s="183">
        <v>11</v>
      </c>
    </row>
    <row r="52" s="110" customFormat="1" ht="16.5" customHeight="1" spans="1:6">
      <c r="A52" s="181" t="s">
        <v>52</v>
      </c>
      <c r="B52" s="182" t="s">
        <v>451</v>
      </c>
      <c r="C52" s="179"/>
      <c r="D52" s="184"/>
      <c r="E52" s="171"/>
      <c r="F52" s="183">
        <v>3</v>
      </c>
    </row>
    <row r="53" s="109" customFormat="1" ht="16.5" customHeight="1" spans="1:6">
      <c r="A53" s="181" t="s">
        <v>78</v>
      </c>
      <c r="B53" s="182" t="s">
        <v>104</v>
      </c>
      <c r="C53" s="160"/>
      <c r="D53" s="156"/>
      <c r="E53" s="156"/>
      <c r="F53" s="183">
        <f>(16.5+(F5-500)*(13.6/500))*0.9*0.85</f>
        <v>20.01</v>
      </c>
    </row>
    <row r="54" s="109" customFormat="1" ht="16.5" customHeight="1" spans="1:6">
      <c r="A54" s="181" t="s">
        <v>80</v>
      </c>
      <c r="B54" s="185" t="s">
        <v>107</v>
      </c>
      <c r="C54" s="160"/>
      <c r="D54" s="156"/>
      <c r="E54" s="156"/>
      <c r="F54" s="183">
        <f>6.8+(1095.37-1000)*0.6%</f>
        <v>7.37</v>
      </c>
    </row>
    <row r="55" s="110" customFormat="1" ht="16.5" customHeight="1" spans="1:6">
      <c r="A55" s="181" t="s">
        <v>83</v>
      </c>
      <c r="B55" s="182" t="s">
        <v>109</v>
      </c>
      <c r="C55" s="171"/>
      <c r="D55" s="184"/>
      <c r="E55" s="171"/>
      <c r="F55" s="183">
        <f>F5*0.31%</f>
        <v>2.65</v>
      </c>
    </row>
    <row r="56" s="110" customFormat="1" ht="16.5" customHeight="1" spans="1:6">
      <c r="A56" s="181" t="s">
        <v>85</v>
      </c>
      <c r="B56" s="182" t="s">
        <v>112</v>
      </c>
      <c r="C56" s="171"/>
      <c r="D56" s="184"/>
      <c r="E56" s="171"/>
      <c r="F56" s="171"/>
    </row>
    <row r="57" s="110" customFormat="1" ht="16.5" customHeight="1" spans="1:6">
      <c r="A57" s="162" t="s">
        <v>43</v>
      </c>
      <c r="B57" s="185" t="s">
        <v>113</v>
      </c>
      <c r="C57" s="171"/>
      <c r="D57" s="184"/>
      <c r="E57" s="171"/>
      <c r="F57" s="183">
        <f>F5*1%</f>
        <v>8.55</v>
      </c>
    </row>
    <row r="58" s="110" customFormat="1" ht="16.5" customHeight="1" spans="1:6">
      <c r="A58" s="162" t="s">
        <v>46</v>
      </c>
      <c r="B58" s="185" t="s">
        <v>115</v>
      </c>
      <c r="C58" s="171"/>
      <c r="D58" s="184"/>
      <c r="E58" s="171"/>
      <c r="F58" s="183">
        <v>20.29</v>
      </c>
    </row>
    <row r="59" s="110" customFormat="1" ht="16.5" customHeight="1" spans="1:6">
      <c r="A59" s="181" t="s">
        <v>89</v>
      </c>
      <c r="B59" s="182" t="s">
        <v>117</v>
      </c>
      <c r="C59" s="171"/>
      <c r="D59" s="184"/>
      <c r="E59" s="171"/>
      <c r="F59" s="183">
        <f>1.2+(1095.37-500)*0.14%</f>
        <v>2.03</v>
      </c>
    </row>
    <row r="60" s="109" customFormat="1" ht="18" customHeight="1" spans="1:6">
      <c r="A60" s="152" t="s">
        <v>119</v>
      </c>
      <c r="B60" s="153" t="s">
        <v>120</v>
      </c>
      <c r="C60" s="186" t="s">
        <v>36</v>
      </c>
      <c r="D60" s="180">
        <v>694.39</v>
      </c>
      <c r="E60" s="187">
        <f>F60/D60*10000</f>
        <v>13395.07</v>
      </c>
      <c r="F60" s="180">
        <f>F5+F50</f>
        <v>930.14</v>
      </c>
    </row>
    <row r="61" s="110" customFormat="1" ht="20" customHeight="1" spans="1:7">
      <c r="A61" s="142"/>
      <c r="B61" s="136"/>
      <c r="C61" s="143"/>
      <c r="E61" s="143"/>
      <c r="F61" s="143"/>
      <c r="G61" s="188"/>
    </row>
  </sheetData>
  <mergeCells count="1">
    <mergeCell ref="A2:F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8"/>
  <sheetViews>
    <sheetView workbookViewId="0">
      <selection activeCell="F4" sqref="F55 F4"/>
    </sheetView>
  </sheetViews>
  <sheetFormatPr defaultColWidth="8.875" defaultRowHeight="20.1" customHeight="1"/>
  <cols>
    <col min="1" max="1" width="7.125" style="64" customWidth="1"/>
    <col min="2" max="2" width="32.625" style="65" customWidth="1"/>
    <col min="3" max="3" width="8.625" style="66" customWidth="1"/>
    <col min="4" max="4" width="12.625" style="30" customWidth="1"/>
    <col min="5" max="6" width="12.625" style="66" customWidth="1"/>
    <col min="7" max="16384" width="8.875" style="30"/>
  </cols>
  <sheetData>
    <row r="1" s="62" customFormat="1" ht="20.85" customHeight="1" spans="1:6">
      <c r="A1" s="144" t="s">
        <v>452</v>
      </c>
      <c r="B1" s="113"/>
      <c r="C1" s="112"/>
      <c r="D1" s="112"/>
      <c r="E1" s="112"/>
      <c r="F1" s="114"/>
    </row>
    <row r="2" s="62" customFormat="1" ht="20.85" customHeight="1" spans="1:6">
      <c r="A2" s="145" t="s">
        <v>453</v>
      </c>
      <c r="B2" s="145"/>
      <c r="C2" s="145"/>
      <c r="D2" s="145"/>
      <c r="E2" s="145"/>
      <c r="F2" s="145"/>
    </row>
    <row r="3" ht="27.4" customHeight="1" spans="1:6">
      <c r="A3" s="69" t="s">
        <v>1</v>
      </c>
      <c r="B3" s="70" t="s">
        <v>332</v>
      </c>
      <c r="C3" s="71" t="s">
        <v>28</v>
      </c>
      <c r="D3" s="71" t="s">
        <v>29</v>
      </c>
      <c r="E3" s="72" t="s">
        <v>30</v>
      </c>
      <c r="F3" s="72" t="s">
        <v>31</v>
      </c>
    </row>
    <row r="4" s="63" customFormat="1" ht="18" customHeight="1" spans="1:6">
      <c r="A4" s="73" t="s">
        <v>32</v>
      </c>
      <c r="B4" s="74" t="s">
        <v>33</v>
      </c>
      <c r="C4" s="70"/>
      <c r="D4" s="71"/>
      <c r="E4" s="71"/>
      <c r="F4" s="75">
        <v>1908.22</v>
      </c>
    </row>
    <row r="5" s="63" customFormat="1" ht="18" customHeight="1" outlineLevel="1" spans="1:6">
      <c r="A5" s="73" t="s">
        <v>34</v>
      </c>
      <c r="B5" s="74" t="s">
        <v>35</v>
      </c>
      <c r="C5" s="70"/>
      <c r="D5" s="71"/>
      <c r="E5" s="71"/>
      <c r="F5" s="75">
        <v>34.8</v>
      </c>
    </row>
    <row r="6" s="63" customFormat="1" ht="18" customHeight="1" outlineLevel="2" spans="1:6">
      <c r="A6" s="76" t="s">
        <v>39</v>
      </c>
      <c r="B6" s="77" t="s">
        <v>122</v>
      </c>
      <c r="C6" s="78" t="s">
        <v>36</v>
      </c>
      <c r="D6" s="79">
        <v>1740</v>
      </c>
      <c r="E6" s="79">
        <v>200</v>
      </c>
      <c r="F6" s="80">
        <v>34.8</v>
      </c>
    </row>
    <row r="7" s="63" customFormat="1" ht="18" customHeight="1" outlineLevel="2" spans="1:7">
      <c r="A7" s="76" t="s">
        <v>52</v>
      </c>
      <c r="B7" s="146" t="s">
        <v>35</v>
      </c>
      <c r="C7" s="78" t="s">
        <v>36</v>
      </c>
      <c r="D7" s="79"/>
      <c r="E7" s="79"/>
      <c r="F7" s="80"/>
      <c r="G7" s="81"/>
    </row>
    <row r="8" ht="18" customHeight="1" outlineLevel="1" spans="1:6">
      <c r="A8" s="73" t="s">
        <v>37</v>
      </c>
      <c r="B8" s="74" t="s">
        <v>38</v>
      </c>
      <c r="C8" s="82"/>
      <c r="D8" s="83"/>
      <c r="E8" s="79"/>
      <c r="F8" s="75">
        <v>1570.63</v>
      </c>
    </row>
    <row r="9" ht="18" customHeight="1" outlineLevel="2" spans="1:6">
      <c r="A9" s="76">
        <v>1</v>
      </c>
      <c r="B9" s="77" t="s">
        <v>288</v>
      </c>
      <c r="C9" s="78" t="s">
        <v>41</v>
      </c>
      <c r="D9" s="84">
        <v>1</v>
      </c>
      <c r="E9" s="79"/>
      <c r="F9" s="80">
        <v>42.85</v>
      </c>
    </row>
    <row r="10" ht="18" customHeight="1" outlineLevel="2" spans="1:6">
      <c r="A10" s="76" t="s">
        <v>43</v>
      </c>
      <c r="B10" s="85" t="s">
        <v>44</v>
      </c>
      <c r="C10" s="78" t="s">
        <v>41</v>
      </c>
      <c r="D10" s="84">
        <v>1</v>
      </c>
      <c r="E10" s="79">
        <v>297649.94</v>
      </c>
      <c r="F10" s="80">
        <v>29.76</v>
      </c>
    </row>
    <row r="11" ht="18" customHeight="1" outlineLevel="2" spans="1:6">
      <c r="A11" s="76" t="s">
        <v>46</v>
      </c>
      <c r="B11" s="85" t="s">
        <v>454</v>
      </c>
      <c r="C11" s="78" t="s">
        <v>41</v>
      </c>
      <c r="D11" s="84">
        <v>1</v>
      </c>
      <c r="E11" s="79">
        <v>81283.97</v>
      </c>
      <c r="F11" s="80">
        <v>8.13</v>
      </c>
    </row>
    <row r="12" ht="18" customHeight="1" outlineLevel="2" spans="1:6">
      <c r="A12" s="76" t="s">
        <v>49</v>
      </c>
      <c r="B12" s="85" t="s">
        <v>50</v>
      </c>
      <c r="C12" s="78" t="s">
        <v>51</v>
      </c>
      <c r="D12" s="79">
        <v>20</v>
      </c>
      <c r="E12" s="79">
        <v>2478.25</v>
      </c>
      <c r="F12" s="80">
        <v>4.96</v>
      </c>
    </row>
    <row r="13" ht="18" customHeight="1" outlineLevel="2" spans="1:6">
      <c r="A13" s="76">
        <v>2</v>
      </c>
      <c r="B13" s="77" t="s">
        <v>297</v>
      </c>
      <c r="C13" s="78" t="s">
        <v>41</v>
      </c>
      <c r="D13" s="84">
        <v>2</v>
      </c>
      <c r="E13" s="79"/>
      <c r="F13" s="80">
        <v>111.78</v>
      </c>
    </row>
    <row r="14" ht="18" customHeight="1" outlineLevel="2" spans="1:6">
      <c r="A14" s="76" t="s">
        <v>43</v>
      </c>
      <c r="B14" s="85" t="s">
        <v>44</v>
      </c>
      <c r="C14" s="78" t="s">
        <v>41</v>
      </c>
      <c r="D14" s="84">
        <v>2</v>
      </c>
      <c r="E14" s="79">
        <v>297649.94</v>
      </c>
      <c r="F14" s="80">
        <v>59.53</v>
      </c>
    </row>
    <row r="15" ht="18" customHeight="1" outlineLevel="2" spans="1:6">
      <c r="A15" s="76" t="s">
        <v>46</v>
      </c>
      <c r="B15" s="85" t="s">
        <v>291</v>
      </c>
      <c r="C15" s="78" t="s">
        <v>41</v>
      </c>
      <c r="D15" s="84">
        <v>2</v>
      </c>
      <c r="E15" s="79">
        <v>148483.97</v>
      </c>
      <c r="F15" s="80">
        <v>29.7</v>
      </c>
    </row>
    <row r="16" ht="18" customHeight="1" outlineLevel="2" spans="1:6">
      <c r="A16" s="76" t="s">
        <v>49</v>
      </c>
      <c r="B16" s="85" t="s">
        <v>50</v>
      </c>
      <c r="C16" s="78" t="s">
        <v>51</v>
      </c>
      <c r="D16" s="79">
        <v>91</v>
      </c>
      <c r="E16" s="79">
        <v>2478.25</v>
      </c>
      <c r="F16" s="80">
        <v>22.55</v>
      </c>
    </row>
    <row r="17" ht="18" customHeight="1" outlineLevel="2" spans="1:6">
      <c r="A17" s="76">
        <v>3</v>
      </c>
      <c r="B17" s="77" t="s">
        <v>455</v>
      </c>
      <c r="C17" s="78" t="s">
        <v>41</v>
      </c>
      <c r="D17" s="84">
        <v>1</v>
      </c>
      <c r="E17" s="79"/>
      <c r="F17" s="80">
        <v>26.01</v>
      </c>
    </row>
    <row r="18" ht="18" customHeight="1" outlineLevel="2" spans="1:6">
      <c r="A18" s="76" t="s">
        <v>43</v>
      </c>
      <c r="B18" s="85" t="s">
        <v>44</v>
      </c>
      <c r="C18" s="78" t="s">
        <v>41</v>
      </c>
      <c r="D18" s="84">
        <v>1</v>
      </c>
      <c r="E18" s="79">
        <v>100000</v>
      </c>
      <c r="F18" s="80">
        <v>10</v>
      </c>
    </row>
    <row r="19" ht="18" customHeight="1" outlineLevel="2" spans="1:6">
      <c r="A19" s="76" t="s">
        <v>46</v>
      </c>
      <c r="B19" s="85" t="s">
        <v>456</v>
      </c>
      <c r="C19" s="78" t="s">
        <v>41</v>
      </c>
      <c r="D19" s="84">
        <v>1</v>
      </c>
      <c r="E19" s="79">
        <v>98083.97</v>
      </c>
      <c r="F19" s="80">
        <v>9.81</v>
      </c>
    </row>
    <row r="20" ht="18" customHeight="1" outlineLevel="2" spans="1:6">
      <c r="A20" s="76" t="s">
        <v>49</v>
      </c>
      <c r="B20" s="85" t="s">
        <v>50</v>
      </c>
      <c r="C20" s="78" t="s">
        <v>51</v>
      </c>
      <c r="D20" s="79">
        <v>25</v>
      </c>
      <c r="E20" s="79">
        <v>2478.25</v>
      </c>
      <c r="F20" s="80">
        <v>6.2</v>
      </c>
    </row>
    <row r="21" ht="18" customHeight="1" outlineLevel="2" spans="1:6">
      <c r="A21" s="76" t="s">
        <v>52</v>
      </c>
      <c r="B21" s="77" t="s">
        <v>457</v>
      </c>
      <c r="C21" s="86"/>
      <c r="D21" s="79"/>
      <c r="E21" s="83"/>
      <c r="F21" s="80">
        <v>722</v>
      </c>
    </row>
    <row r="22" ht="18" customHeight="1" outlineLevel="2" spans="1:6">
      <c r="A22" s="76" t="s">
        <v>43</v>
      </c>
      <c r="B22" s="87" t="s">
        <v>298</v>
      </c>
      <c r="C22" s="78" t="s">
        <v>51</v>
      </c>
      <c r="D22" s="79">
        <v>271</v>
      </c>
      <c r="E22" s="79">
        <v>1055.26</v>
      </c>
      <c r="F22" s="80">
        <v>28.6</v>
      </c>
    </row>
    <row r="23" ht="18" customHeight="1" outlineLevel="2" spans="1:6">
      <c r="A23" s="76" t="s">
        <v>46</v>
      </c>
      <c r="B23" s="87" t="s">
        <v>299</v>
      </c>
      <c r="C23" s="78" t="s">
        <v>51</v>
      </c>
      <c r="D23" s="79">
        <v>3035</v>
      </c>
      <c r="E23" s="79">
        <v>651.96</v>
      </c>
      <c r="F23" s="80">
        <v>197.87</v>
      </c>
    </row>
    <row r="24" ht="18" customHeight="1" outlineLevel="2" spans="1:6">
      <c r="A24" s="76" t="s">
        <v>49</v>
      </c>
      <c r="B24" s="87" t="s">
        <v>300</v>
      </c>
      <c r="C24" s="78" t="s">
        <v>51</v>
      </c>
      <c r="D24" s="79">
        <v>3390</v>
      </c>
      <c r="E24" s="79">
        <v>400.75</v>
      </c>
      <c r="F24" s="80">
        <v>135.85</v>
      </c>
    </row>
    <row r="25" ht="18" customHeight="1" outlineLevel="2" spans="1:6">
      <c r="A25" s="76" t="s">
        <v>62</v>
      </c>
      <c r="B25" s="87" t="s">
        <v>301</v>
      </c>
      <c r="C25" s="78" t="s">
        <v>51</v>
      </c>
      <c r="D25" s="79">
        <v>5515</v>
      </c>
      <c r="E25" s="79">
        <v>234.31</v>
      </c>
      <c r="F25" s="80">
        <v>129.22</v>
      </c>
    </row>
    <row r="26" ht="18" customHeight="1" outlineLevel="2" spans="1:6">
      <c r="A26" s="76" t="s">
        <v>65</v>
      </c>
      <c r="B26" s="87" t="s">
        <v>302</v>
      </c>
      <c r="C26" s="78" t="s">
        <v>51</v>
      </c>
      <c r="D26" s="79">
        <v>1786</v>
      </c>
      <c r="E26" s="79">
        <v>159.05</v>
      </c>
      <c r="F26" s="80">
        <v>28.41</v>
      </c>
    </row>
    <row r="27" ht="18" customHeight="1" outlineLevel="2" spans="1:7">
      <c r="A27" s="76" t="s">
        <v>68</v>
      </c>
      <c r="B27" s="87" t="s">
        <v>303</v>
      </c>
      <c r="C27" s="78" t="s">
        <v>51</v>
      </c>
      <c r="D27" s="79">
        <v>539</v>
      </c>
      <c r="E27" s="79">
        <v>75.22</v>
      </c>
      <c r="F27" s="80">
        <v>4.05</v>
      </c>
      <c r="G27" s="88"/>
    </row>
    <row r="28" ht="18" customHeight="1" outlineLevel="2" spans="1:6">
      <c r="A28" s="76" t="s">
        <v>136</v>
      </c>
      <c r="B28" s="87" t="s">
        <v>335</v>
      </c>
      <c r="C28" s="78" t="s">
        <v>95</v>
      </c>
      <c r="D28" s="84">
        <v>1</v>
      </c>
      <c r="E28" s="79">
        <v>349900</v>
      </c>
      <c r="F28" s="80">
        <v>34.99</v>
      </c>
    </row>
    <row r="29" ht="18" customHeight="1" outlineLevel="2" spans="1:7">
      <c r="A29" s="76" t="s">
        <v>138</v>
      </c>
      <c r="B29" s="87" t="s">
        <v>341</v>
      </c>
      <c r="C29" s="78" t="s">
        <v>51</v>
      </c>
      <c r="D29" s="79">
        <v>134</v>
      </c>
      <c r="E29" s="79">
        <v>2500</v>
      </c>
      <c r="F29" s="80">
        <v>33.5</v>
      </c>
      <c r="G29" s="81"/>
    </row>
    <row r="30" ht="18" customHeight="1" outlineLevel="2" spans="1:6">
      <c r="A30" s="76" t="s">
        <v>140</v>
      </c>
      <c r="B30" s="87" t="s">
        <v>342</v>
      </c>
      <c r="C30" s="78" t="s">
        <v>41</v>
      </c>
      <c r="D30" s="84">
        <v>8</v>
      </c>
      <c r="E30" s="79">
        <v>3479.54</v>
      </c>
      <c r="F30" s="80">
        <v>2.78</v>
      </c>
    </row>
    <row r="31" ht="18" customHeight="1" outlineLevel="2" spans="1:6">
      <c r="A31" s="76" t="s">
        <v>143</v>
      </c>
      <c r="B31" s="87" t="s">
        <v>343</v>
      </c>
      <c r="C31" s="78" t="s">
        <v>51</v>
      </c>
      <c r="D31" s="79">
        <v>130</v>
      </c>
      <c r="E31" s="79">
        <v>2084.44</v>
      </c>
      <c r="F31" s="80">
        <v>27.1</v>
      </c>
    </row>
    <row r="32" ht="18" customHeight="1" outlineLevel="2" spans="1:6">
      <c r="A32" s="76" t="s">
        <v>145</v>
      </c>
      <c r="B32" s="87" t="s">
        <v>344</v>
      </c>
      <c r="C32" s="78" t="s">
        <v>41</v>
      </c>
      <c r="D32" s="84">
        <v>6</v>
      </c>
      <c r="E32" s="79">
        <v>2284.34</v>
      </c>
      <c r="F32" s="80">
        <v>1.37</v>
      </c>
    </row>
    <row r="33" ht="18" customHeight="1" outlineLevel="2" spans="1:6">
      <c r="A33" s="76" t="s">
        <v>148</v>
      </c>
      <c r="B33" s="87" t="s">
        <v>348</v>
      </c>
      <c r="C33" s="78" t="s">
        <v>41</v>
      </c>
      <c r="D33" s="84">
        <v>6</v>
      </c>
      <c r="E33" s="79">
        <v>10528.33</v>
      </c>
      <c r="F33" s="80">
        <v>6.32</v>
      </c>
    </row>
    <row r="34" ht="18" customHeight="1" outlineLevel="2" spans="1:6">
      <c r="A34" s="76" t="s">
        <v>151</v>
      </c>
      <c r="B34" s="87" t="s">
        <v>350</v>
      </c>
      <c r="C34" s="78" t="s">
        <v>41</v>
      </c>
      <c r="D34" s="84">
        <v>11</v>
      </c>
      <c r="E34" s="79">
        <v>9835.79</v>
      </c>
      <c r="F34" s="80">
        <v>10.82</v>
      </c>
    </row>
    <row r="35" ht="18" customHeight="1" outlineLevel="2" spans="1:6">
      <c r="A35" s="76" t="s">
        <v>153</v>
      </c>
      <c r="B35" s="87" t="s">
        <v>352</v>
      </c>
      <c r="C35" s="78" t="s">
        <v>41</v>
      </c>
      <c r="D35" s="84">
        <v>24</v>
      </c>
      <c r="E35" s="79">
        <v>7129.12</v>
      </c>
      <c r="F35" s="80">
        <v>17.11</v>
      </c>
    </row>
    <row r="36" ht="18" customHeight="1" outlineLevel="2" spans="1:6">
      <c r="A36" s="76" t="s">
        <v>155</v>
      </c>
      <c r="B36" s="87" t="s">
        <v>354</v>
      </c>
      <c r="C36" s="78" t="s">
        <v>41</v>
      </c>
      <c r="D36" s="84">
        <v>6</v>
      </c>
      <c r="E36" s="79">
        <v>6636.48</v>
      </c>
      <c r="F36" s="80">
        <v>3.98</v>
      </c>
    </row>
    <row r="37" ht="18" customHeight="1" outlineLevel="2" spans="1:6">
      <c r="A37" s="76" t="s">
        <v>157</v>
      </c>
      <c r="B37" s="87" t="s">
        <v>146</v>
      </c>
      <c r="C37" s="78" t="s">
        <v>60</v>
      </c>
      <c r="D37" s="84">
        <v>484</v>
      </c>
      <c r="E37" s="79">
        <v>1240.19</v>
      </c>
      <c r="F37" s="80">
        <v>60.03</v>
      </c>
    </row>
    <row r="38" ht="18" customHeight="1" outlineLevel="2" spans="1:6">
      <c r="A38" s="76" t="s">
        <v>78</v>
      </c>
      <c r="B38" s="77" t="s">
        <v>162</v>
      </c>
      <c r="C38" s="86"/>
      <c r="D38" s="83"/>
      <c r="E38" s="83"/>
      <c r="F38" s="80">
        <v>667.99</v>
      </c>
    </row>
    <row r="39" ht="18" customHeight="1" outlineLevel="2" spans="1:7">
      <c r="A39" s="76" t="s">
        <v>43</v>
      </c>
      <c r="B39" s="87" t="s">
        <v>458</v>
      </c>
      <c r="C39" s="78" t="s">
        <v>356</v>
      </c>
      <c r="D39" s="84">
        <v>484</v>
      </c>
      <c r="E39" s="79">
        <v>270</v>
      </c>
      <c r="F39" s="80">
        <v>13.07</v>
      </c>
      <c r="G39" s="81"/>
    </row>
    <row r="40" ht="18" customHeight="1" outlineLevel="2" spans="1:7">
      <c r="A40" s="76" t="s">
        <v>46</v>
      </c>
      <c r="B40" s="87" t="s">
        <v>357</v>
      </c>
      <c r="C40" s="78" t="s">
        <v>51</v>
      </c>
      <c r="D40" s="79">
        <v>10534</v>
      </c>
      <c r="E40" s="79">
        <v>300</v>
      </c>
      <c r="F40" s="80">
        <v>316.02</v>
      </c>
      <c r="G40" s="89"/>
    </row>
    <row r="41" ht="18" customHeight="1" outlineLevel="2" spans="1:7">
      <c r="A41" s="76" t="s">
        <v>49</v>
      </c>
      <c r="B41" s="87" t="s">
        <v>358</v>
      </c>
      <c r="C41" s="78" t="s">
        <v>51</v>
      </c>
      <c r="D41" s="79">
        <v>4803</v>
      </c>
      <c r="E41" s="79">
        <v>335.97</v>
      </c>
      <c r="F41" s="80">
        <v>161.37</v>
      </c>
      <c r="G41" s="81"/>
    </row>
    <row r="42" ht="18" customHeight="1" outlineLevel="2" spans="1:7">
      <c r="A42" s="76" t="s">
        <v>62</v>
      </c>
      <c r="B42" s="87" t="s">
        <v>359</v>
      </c>
      <c r="C42" s="78" t="s">
        <v>60</v>
      </c>
      <c r="D42" s="84">
        <v>515</v>
      </c>
      <c r="E42" s="79">
        <v>60</v>
      </c>
      <c r="F42" s="80">
        <v>3.09</v>
      </c>
      <c r="G42" s="81"/>
    </row>
    <row r="43" ht="18" customHeight="1" outlineLevel="2" spans="1:7">
      <c r="A43" s="76" t="s">
        <v>65</v>
      </c>
      <c r="B43" s="87" t="s">
        <v>360</v>
      </c>
      <c r="C43" s="78" t="s">
        <v>41</v>
      </c>
      <c r="D43" s="84">
        <v>40</v>
      </c>
      <c r="E43" s="79">
        <v>10000</v>
      </c>
      <c r="F43" s="80">
        <v>40</v>
      </c>
      <c r="G43" s="81"/>
    </row>
    <row r="44" ht="18" customHeight="1" outlineLevel="2" spans="1:7">
      <c r="A44" s="76" t="s">
        <v>68</v>
      </c>
      <c r="B44" s="87" t="s">
        <v>459</v>
      </c>
      <c r="C44" s="78" t="s">
        <v>41</v>
      </c>
      <c r="D44" s="84">
        <v>69</v>
      </c>
      <c r="E44" s="79">
        <v>940</v>
      </c>
      <c r="F44" s="80">
        <v>6.49</v>
      </c>
      <c r="G44" s="81"/>
    </row>
    <row r="45" ht="18" customHeight="1" outlineLevel="2" spans="1:6">
      <c r="A45" s="76" t="s">
        <v>136</v>
      </c>
      <c r="B45" s="87" t="s">
        <v>362</v>
      </c>
      <c r="C45" s="78" t="s">
        <v>51</v>
      </c>
      <c r="D45" s="79">
        <v>372</v>
      </c>
      <c r="E45" s="79">
        <v>870.72</v>
      </c>
      <c r="F45" s="80">
        <v>32.39</v>
      </c>
    </row>
    <row r="46" ht="18" customHeight="1" outlineLevel="2" spans="1:6">
      <c r="A46" s="76" t="s">
        <v>138</v>
      </c>
      <c r="B46" s="87" t="s">
        <v>363</v>
      </c>
      <c r="C46" s="78" t="s">
        <v>51</v>
      </c>
      <c r="D46" s="79">
        <v>1317</v>
      </c>
      <c r="E46" s="79">
        <v>568.38</v>
      </c>
      <c r="F46" s="80">
        <v>74.86</v>
      </c>
    </row>
    <row r="47" ht="18" customHeight="1" outlineLevel="2" spans="1:7">
      <c r="A47" s="76" t="s">
        <v>140</v>
      </c>
      <c r="B47" s="87" t="s">
        <v>460</v>
      </c>
      <c r="C47" s="78" t="s">
        <v>41</v>
      </c>
      <c r="D47" s="84">
        <v>69</v>
      </c>
      <c r="E47" s="79">
        <v>3000</v>
      </c>
      <c r="F47" s="80">
        <v>20.7</v>
      </c>
      <c r="G47" s="81"/>
    </row>
    <row r="48" ht="18" customHeight="1" outlineLevel="1" spans="1:6">
      <c r="A48" s="73" t="s">
        <v>71</v>
      </c>
      <c r="B48" s="74" t="s">
        <v>72</v>
      </c>
      <c r="C48" s="90"/>
      <c r="D48" s="91"/>
      <c r="E48" s="86"/>
      <c r="F48" s="75">
        <v>295.83</v>
      </c>
    </row>
    <row r="49" ht="18" customHeight="1" outlineLevel="2" spans="1:6">
      <c r="A49" s="76">
        <v>1</v>
      </c>
      <c r="B49" s="77" t="s">
        <v>321</v>
      </c>
      <c r="C49" s="78" t="s">
        <v>320</v>
      </c>
      <c r="D49" s="79">
        <v>8478</v>
      </c>
      <c r="E49" s="79">
        <v>249.98</v>
      </c>
      <c r="F49" s="79">
        <v>211.93</v>
      </c>
    </row>
    <row r="50" ht="18" customHeight="1" outlineLevel="2" spans="1:6">
      <c r="A50" s="76">
        <v>2</v>
      </c>
      <c r="B50" s="77" t="s">
        <v>461</v>
      </c>
      <c r="C50" s="78" t="s">
        <v>320</v>
      </c>
      <c r="D50" s="79">
        <v>730</v>
      </c>
      <c r="E50" s="79">
        <v>276.88</v>
      </c>
      <c r="F50" s="79">
        <v>20.21</v>
      </c>
    </row>
    <row r="51" ht="18" customHeight="1" outlineLevel="2" spans="1:6">
      <c r="A51" s="76">
        <v>3</v>
      </c>
      <c r="B51" s="77" t="s">
        <v>462</v>
      </c>
      <c r="C51" s="78" t="s">
        <v>320</v>
      </c>
      <c r="D51" s="79">
        <v>1596</v>
      </c>
      <c r="E51" s="79">
        <v>399.09</v>
      </c>
      <c r="F51" s="79">
        <v>63.69</v>
      </c>
    </row>
    <row r="52" ht="18" customHeight="1" outlineLevel="1" spans="1:9">
      <c r="A52" s="73" t="s">
        <v>92</v>
      </c>
      <c r="B52" s="74" t="s">
        <v>93</v>
      </c>
      <c r="C52" s="100"/>
      <c r="D52" s="101"/>
      <c r="E52" s="86"/>
      <c r="F52" s="75">
        <v>6.96</v>
      </c>
      <c r="G52" s="65"/>
      <c r="H52" s="65"/>
      <c r="I52" s="65"/>
    </row>
    <row r="53" ht="18" customHeight="1" outlineLevel="2" spans="1:9">
      <c r="A53" s="76">
        <v>1</v>
      </c>
      <c r="B53" s="77" t="s">
        <v>329</v>
      </c>
      <c r="C53" s="78" t="s">
        <v>51</v>
      </c>
      <c r="D53" s="79">
        <v>380</v>
      </c>
      <c r="E53" s="79">
        <v>120</v>
      </c>
      <c r="F53" s="79">
        <v>4.56</v>
      </c>
      <c r="G53" s="65"/>
      <c r="H53" s="65"/>
      <c r="I53" s="65"/>
    </row>
    <row r="54" ht="18" customHeight="1" outlineLevel="2" spans="1:9">
      <c r="A54" s="76">
        <v>2</v>
      </c>
      <c r="B54" s="77" t="s">
        <v>224</v>
      </c>
      <c r="C54" s="78" t="s">
        <v>225</v>
      </c>
      <c r="D54" s="84">
        <v>4</v>
      </c>
      <c r="E54" s="79">
        <v>6000</v>
      </c>
      <c r="F54" s="79">
        <v>2.4</v>
      </c>
      <c r="G54" s="65"/>
      <c r="H54" s="65"/>
      <c r="I54" s="65"/>
    </row>
    <row r="55" s="63" customFormat="1" ht="18" customHeight="1" spans="1:6">
      <c r="A55" s="94" t="s">
        <v>100</v>
      </c>
      <c r="B55" s="95" t="s">
        <v>101</v>
      </c>
      <c r="C55" s="96"/>
      <c r="D55" s="97"/>
      <c r="E55" s="97"/>
      <c r="F55" s="98">
        <f>SUM((F56:F64))</f>
        <v>159.04</v>
      </c>
    </row>
    <row r="56" ht="18" customHeight="1" spans="1:6">
      <c r="A56" s="76" t="s">
        <v>39</v>
      </c>
      <c r="B56" s="99" t="s">
        <v>371</v>
      </c>
      <c r="C56" s="100"/>
      <c r="D56" s="101"/>
      <c r="E56" s="86"/>
      <c r="F56" s="93">
        <v>14.92</v>
      </c>
    </row>
    <row r="57" ht="18" customHeight="1" spans="1:6">
      <c r="A57" s="76" t="s">
        <v>52</v>
      </c>
      <c r="B57" s="99" t="s">
        <v>372</v>
      </c>
      <c r="C57" s="100"/>
      <c r="D57" s="101"/>
      <c r="E57" s="86"/>
      <c r="F57" s="93">
        <v>4.4</v>
      </c>
    </row>
    <row r="58" s="63" customFormat="1" ht="18" customHeight="1" spans="1:6">
      <c r="A58" s="76" t="s">
        <v>78</v>
      </c>
      <c r="B58" s="99" t="s">
        <v>107</v>
      </c>
      <c r="C58" s="70"/>
      <c r="D58" s="71"/>
      <c r="E58" s="71"/>
      <c r="F58" s="93">
        <v>13.25</v>
      </c>
    </row>
    <row r="59" ht="18" customHeight="1" spans="1:6">
      <c r="A59" s="76" t="s">
        <v>80</v>
      </c>
      <c r="B59" s="99" t="s">
        <v>104</v>
      </c>
      <c r="C59" s="100"/>
      <c r="D59" s="101"/>
      <c r="E59" s="86"/>
      <c r="F59" s="147">
        <v>39.68</v>
      </c>
    </row>
    <row r="60" ht="18" customHeight="1" spans="1:6">
      <c r="A60" s="76" t="s">
        <v>83</v>
      </c>
      <c r="B60" s="99" t="s">
        <v>109</v>
      </c>
      <c r="C60" s="86"/>
      <c r="D60" s="101"/>
      <c r="E60" s="86"/>
      <c r="F60" s="147">
        <v>13.55</v>
      </c>
    </row>
    <row r="61" ht="18" customHeight="1" spans="1:6">
      <c r="A61" s="76" t="s">
        <v>85</v>
      </c>
      <c r="B61" s="99" t="s">
        <v>112</v>
      </c>
      <c r="C61" s="86"/>
      <c r="D61" s="101"/>
      <c r="E61" s="86"/>
      <c r="F61" s="147"/>
    </row>
    <row r="62" ht="18" customHeight="1" spans="1:6">
      <c r="A62" s="76" t="s">
        <v>43</v>
      </c>
      <c r="B62" s="148" t="s">
        <v>113</v>
      </c>
      <c r="C62" s="86"/>
      <c r="D62" s="101"/>
      <c r="E62" s="86"/>
      <c r="F62" s="93">
        <v>14.53</v>
      </c>
    </row>
    <row r="63" ht="18" customHeight="1" spans="1:6">
      <c r="A63" s="76" t="s">
        <v>46</v>
      </c>
      <c r="B63" s="148" t="s">
        <v>115</v>
      </c>
      <c r="C63" s="86"/>
      <c r="D63" s="101"/>
      <c r="E63" s="86"/>
      <c r="F63" s="93">
        <v>56.35</v>
      </c>
    </row>
    <row r="64" ht="18" customHeight="1" spans="1:6">
      <c r="A64" s="76" t="s">
        <v>89</v>
      </c>
      <c r="B64" s="99" t="s">
        <v>117</v>
      </c>
      <c r="C64" s="100"/>
      <c r="D64" s="101"/>
      <c r="E64" s="86"/>
      <c r="F64" s="93">
        <v>2.36</v>
      </c>
    </row>
    <row r="65" s="63" customFormat="1" ht="18" customHeight="1" spans="1:6">
      <c r="A65" s="94" t="s">
        <v>119</v>
      </c>
      <c r="B65" s="95" t="s">
        <v>120</v>
      </c>
      <c r="C65" s="102" t="s">
        <v>36</v>
      </c>
      <c r="D65" s="103">
        <v>1630.22</v>
      </c>
      <c r="E65" s="103">
        <v>11925.17</v>
      </c>
      <c r="F65" s="98">
        <f>F4+F55</f>
        <v>2067.26</v>
      </c>
    </row>
    <row r="66" s="63" customFormat="1" ht="18" customHeight="1"/>
    <row r="67" customHeight="1" spans="6:11">
      <c r="F67" s="149"/>
      <c r="K67" s="65"/>
    </row>
    <row r="68" customHeight="1" spans="11:11">
      <c r="K68" s="65"/>
    </row>
  </sheetData>
  <mergeCells count="1">
    <mergeCell ref="A2:F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workbookViewId="0">
      <selection activeCell="I52" sqref="I52"/>
    </sheetView>
  </sheetViews>
  <sheetFormatPr defaultColWidth="9" defaultRowHeight="13.5" outlineLevelCol="7"/>
  <cols>
    <col min="1" max="1" width="7.125" customWidth="1"/>
    <col min="2" max="2" width="32.625" customWidth="1"/>
    <col min="3" max="3" width="8.625" customWidth="1"/>
    <col min="4" max="6" width="12.625" customWidth="1"/>
  </cols>
  <sheetData>
    <row r="1" ht="18.75" spans="1:1">
      <c r="A1" s="111" t="s">
        <v>463</v>
      </c>
    </row>
    <row r="2" s="62" customFormat="1" ht="20.75" customHeight="1" spans="1:6">
      <c r="A2" s="68" t="s">
        <v>464</v>
      </c>
      <c r="B2" s="68"/>
      <c r="C2" s="68"/>
      <c r="D2" s="68"/>
      <c r="E2" s="68"/>
      <c r="F2" s="68"/>
    </row>
    <row r="3" s="62" customFormat="1" ht="20.75" customHeight="1" spans="1:6">
      <c r="A3" s="112"/>
      <c r="B3" s="113"/>
      <c r="C3" s="112"/>
      <c r="D3" s="112"/>
      <c r="E3" s="112"/>
      <c r="F3" s="114"/>
    </row>
    <row r="4" s="30" customFormat="1" ht="27.4" customHeight="1" spans="1:6">
      <c r="A4" s="115" t="s">
        <v>1</v>
      </c>
      <c r="B4" s="70" t="s">
        <v>332</v>
      </c>
      <c r="C4" s="97" t="s">
        <v>28</v>
      </c>
      <c r="D4" s="97" t="s">
        <v>29</v>
      </c>
      <c r="E4" s="116" t="s">
        <v>30</v>
      </c>
      <c r="F4" s="116" t="s">
        <v>31</v>
      </c>
    </row>
    <row r="5" s="109" customFormat="1" ht="18" customHeight="1" spans="1:6">
      <c r="A5" s="94" t="s">
        <v>32</v>
      </c>
      <c r="B5" s="95" t="s">
        <v>33</v>
      </c>
      <c r="C5" s="96"/>
      <c r="D5" s="117"/>
      <c r="E5" s="117"/>
      <c r="F5" s="118">
        <f>F6+F8+F36+F41</f>
        <v>1638.32</v>
      </c>
    </row>
    <row r="6" s="109" customFormat="1" ht="18" customHeight="1" outlineLevel="1" spans="1:6">
      <c r="A6" s="119" t="s">
        <v>34</v>
      </c>
      <c r="B6" s="120" t="s">
        <v>35</v>
      </c>
      <c r="C6" s="121"/>
      <c r="D6" s="117"/>
      <c r="E6" s="117"/>
      <c r="F6" s="118">
        <f>SUM(F7:F7)</f>
        <v>11.6</v>
      </c>
    </row>
    <row r="7" s="109" customFormat="1" ht="18" customHeight="1" outlineLevel="2" spans="1:6">
      <c r="A7" s="122" t="s">
        <v>39</v>
      </c>
      <c r="B7" s="123" t="s">
        <v>122</v>
      </c>
      <c r="C7" s="92" t="s">
        <v>36</v>
      </c>
      <c r="D7" s="124">
        <v>580</v>
      </c>
      <c r="E7" s="124">
        <v>200</v>
      </c>
      <c r="F7" s="125">
        <f t="shared" ref="F7:F11" si="0">D7*E7/10000</f>
        <v>11.6</v>
      </c>
    </row>
    <row r="8" s="110" customFormat="1" ht="18" customHeight="1" outlineLevel="1" spans="1:6">
      <c r="A8" s="119" t="s">
        <v>37</v>
      </c>
      <c r="B8" s="120" t="s">
        <v>38</v>
      </c>
      <c r="C8" s="126"/>
      <c r="D8" s="127"/>
      <c r="E8" s="124"/>
      <c r="F8" s="118">
        <f>F9+F12+F29</f>
        <v>1268.23</v>
      </c>
    </row>
    <row r="9" s="110" customFormat="1" ht="18" customHeight="1" outlineLevel="2" spans="1:6">
      <c r="A9" s="122" t="s">
        <v>39</v>
      </c>
      <c r="B9" s="123" t="s">
        <v>465</v>
      </c>
      <c r="C9" s="92"/>
      <c r="D9" s="128"/>
      <c r="E9" s="124"/>
      <c r="F9" s="125">
        <f>SUM(F10:F11)</f>
        <v>213.5</v>
      </c>
    </row>
    <row r="10" s="110" customFormat="1" ht="48" customHeight="1" outlineLevel="2" spans="1:6">
      <c r="A10" s="122" t="s">
        <v>43</v>
      </c>
      <c r="B10" s="129" t="s">
        <v>466</v>
      </c>
      <c r="C10" s="92" t="s">
        <v>41</v>
      </c>
      <c r="D10" s="128">
        <v>6</v>
      </c>
      <c r="E10" s="124">
        <v>350000</v>
      </c>
      <c r="F10" s="125">
        <f t="shared" si="0"/>
        <v>210</v>
      </c>
    </row>
    <row r="11" s="110" customFormat="1" ht="18" customHeight="1" outlineLevel="2" spans="1:6">
      <c r="A11" s="122" t="s">
        <v>46</v>
      </c>
      <c r="B11" s="129" t="s">
        <v>467</v>
      </c>
      <c r="C11" s="92" t="s">
        <v>41</v>
      </c>
      <c r="D11" s="128">
        <v>1</v>
      </c>
      <c r="E11" s="124">
        <v>35000</v>
      </c>
      <c r="F11" s="125">
        <f t="shared" si="0"/>
        <v>3.5</v>
      </c>
    </row>
    <row r="12" s="110" customFormat="1" ht="18" customHeight="1" outlineLevel="2" spans="1:6">
      <c r="A12" s="122" t="s">
        <v>52</v>
      </c>
      <c r="B12" s="123" t="s">
        <v>128</v>
      </c>
      <c r="C12" s="130"/>
      <c r="D12" s="124"/>
      <c r="E12" s="127"/>
      <c r="F12" s="125">
        <f>SUM(F13:F28)</f>
        <v>704.26</v>
      </c>
    </row>
    <row r="13" s="110" customFormat="1" ht="18" customHeight="1" outlineLevel="2" spans="1:6">
      <c r="A13" s="122" t="s">
        <v>43</v>
      </c>
      <c r="B13" s="129" t="s">
        <v>468</v>
      </c>
      <c r="C13" s="92" t="s">
        <v>51</v>
      </c>
      <c r="D13" s="124">
        <v>3891</v>
      </c>
      <c r="E13" s="124">
        <v>633.61</v>
      </c>
      <c r="F13" s="125">
        <f t="shared" ref="F13:F28" si="1">D13*E13/10000</f>
        <v>246.54</v>
      </c>
    </row>
    <row r="14" s="110" customFormat="1" ht="18" customHeight="1" outlineLevel="2" spans="1:6">
      <c r="A14" s="122" t="s">
        <v>46</v>
      </c>
      <c r="B14" s="131" t="s">
        <v>469</v>
      </c>
      <c r="C14" s="92" t="s">
        <v>51</v>
      </c>
      <c r="D14" s="124">
        <v>3013</v>
      </c>
      <c r="E14" s="124">
        <v>426.32</v>
      </c>
      <c r="F14" s="125">
        <f t="shared" si="1"/>
        <v>128.45</v>
      </c>
    </row>
    <row r="15" s="110" customFormat="1" ht="18" customHeight="1" outlineLevel="2" spans="1:6">
      <c r="A15" s="122" t="s">
        <v>49</v>
      </c>
      <c r="B15" s="131" t="s">
        <v>470</v>
      </c>
      <c r="C15" s="92" t="s">
        <v>51</v>
      </c>
      <c r="D15" s="124">
        <v>2833</v>
      </c>
      <c r="E15" s="124">
        <v>279.01</v>
      </c>
      <c r="F15" s="125">
        <f t="shared" si="1"/>
        <v>79.04</v>
      </c>
    </row>
    <row r="16" s="110" customFormat="1" ht="18" customHeight="1" outlineLevel="2" spans="1:6">
      <c r="A16" s="122" t="s">
        <v>62</v>
      </c>
      <c r="B16" s="131" t="s">
        <v>471</v>
      </c>
      <c r="C16" s="92" t="s">
        <v>51</v>
      </c>
      <c r="D16" s="124">
        <v>3661</v>
      </c>
      <c r="E16" s="124">
        <v>189.22</v>
      </c>
      <c r="F16" s="125">
        <f t="shared" si="1"/>
        <v>69.27</v>
      </c>
    </row>
    <row r="17" s="110" customFormat="1" ht="18" customHeight="1" outlineLevel="2" spans="1:6">
      <c r="A17" s="122" t="s">
        <v>65</v>
      </c>
      <c r="B17" s="131" t="s">
        <v>472</v>
      </c>
      <c r="C17" s="92" t="s">
        <v>51</v>
      </c>
      <c r="D17" s="124">
        <v>805</v>
      </c>
      <c r="E17" s="124">
        <v>98.18</v>
      </c>
      <c r="F17" s="125">
        <f t="shared" si="1"/>
        <v>7.9</v>
      </c>
    </row>
    <row r="18" s="110" customFormat="1" ht="18" customHeight="1" outlineLevel="2" spans="1:6">
      <c r="A18" s="122" t="s">
        <v>68</v>
      </c>
      <c r="B18" s="131" t="s">
        <v>425</v>
      </c>
      <c r="C18" s="92" t="s">
        <v>95</v>
      </c>
      <c r="D18" s="128">
        <v>1</v>
      </c>
      <c r="E18" s="124">
        <v>326008.78</v>
      </c>
      <c r="F18" s="125">
        <f t="shared" si="1"/>
        <v>32.6</v>
      </c>
    </row>
    <row r="19" s="110" customFormat="1" ht="18" customHeight="1" outlineLevel="2" spans="1:6">
      <c r="A19" s="122" t="s">
        <v>136</v>
      </c>
      <c r="B19" s="131" t="s">
        <v>473</v>
      </c>
      <c r="C19" s="92" t="s">
        <v>41</v>
      </c>
      <c r="D19" s="128">
        <v>2</v>
      </c>
      <c r="E19" s="124">
        <v>10284.43</v>
      </c>
      <c r="F19" s="125">
        <f t="shared" si="1"/>
        <v>2.06</v>
      </c>
    </row>
    <row r="20" s="110" customFormat="1" ht="18" customHeight="1" outlineLevel="2" spans="1:6">
      <c r="A20" s="122" t="s">
        <v>138</v>
      </c>
      <c r="B20" s="131" t="s">
        <v>474</v>
      </c>
      <c r="C20" s="92" t="s">
        <v>41</v>
      </c>
      <c r="D20" s="128">
        <v>50</v>
      </c>
      <c r="E20" s="124">
        <v>6332.6</v>
      </c>
      <c r="F20" s="125">
        <f t="shared" si="1"/>
        <v>31.66</v>
      </c>
    </row>
    <row r="21" s="110" customFormat="1" ht="18" customHeight="1" outlineLevel="2" spans="1:6">
      <c r="A21" s="122" t="s">
        <v>140</v>
      </c>
      <c r="B21" s="131" t="s">
        <v>146</v>
      </c>
      <c r="C21" s="92" t="s">
        <v>41</v>
      </c>
      <c r="D21" s="128">
        <v>312</v>
      </c>
      <c r="E21" s="124">
        <v>448.2</v>
      </c>
      <c r="F21" s="125">
        <f t="shared" si="1"/>
        <v>13.98</v>
      </c>
    </row>
    <row r="22" s="110" customFormat="1" ht="18" customHeight="1" outlineLevel="2" spans="1:6">
      <c r="A22" s="122" t="s">
        <v>143</v>
      </c>
      <c r="B22" s="131" t="s">
        <v>475</v>
      </c>
      <c r="C22" s="92" t="s">
        <v>41</v>
      </c>
      <c r="D22" s="128">
        <v>10</v>
      </c>
      <c r="E22" s="124">
        <v>6332.6</v>
      </c>
      <c r="F22" s="125">
        <f t="shared" si="1"/>
        <v>6.33</v>
      </c>
    </row>
    <row r="23" s="110" customFormat="1" ht="18" customHeight="1" outlineLevel="2" spans="1:6">
      <c r="A23" s="122" t="s">
        <v>145</v>
      </c>
      <c r="B23" s="131" t="s">
        <v>476</v>
      </c>
      <c r="C23" s="92" t="s">
        <v>51</v>
      </c>
      <c r="D23" s="124">
        <v>65</v>
      </c>
      <c r="E23" s="124">
        <v>2000</v>
      </c>
      <c r="F23" s="125">
        <f t="shared" si="1"/>
        <v>13</v>
      </c>
    </row>
    <row r="24" s="110" customFormat="1" ht="18" customHeight="1" outlineLevel="2" spans="1:6">
      <c r="A24" s="122" t="s">
        <v>148</v>
      </c>
      <c r="B24" s="131" t="s">
        <v>477</v>
      </c>
      <c r="C24" s="92" t="s">
        <v>51</v>
      </c>
      <c r="D24" s="124">
        <v>10</v>
      </c>
      <c r="E24" s="124">
        <v>1400</v>
      </c>
      <c r="F24" s="125">
        <f t="shared" si="1"/>
        <v>1.4</v>
      </c>
    </row>
    <row r="25" s="110" customFormat="1" ht="18" customHeight="1" outlineLevel="2" spans="1:6">
      <c r="A25" s="122" t="s">
        <v>151</v>
      </c>
      <c r="B25" s="131" t="s">
        <v>478</v>
      </c>
      <c r="C25" s="92" t="s">
        <v>51</v>
      </c>
      <c r="D25" s="124">
        <v>20</v>
      </c>
      <c r="E25" s="124">
        <v>800</v>
      </c>
      <c r="F25" s="125">
        <f t="shared" si="1"/>
        <v>1.6</v>
      </c>
    </row>
    <row r="26" s="110" customFormat="1" ht="18" customHeight="1" outlineLevel="2" spans="1:6">
      <c r="A26" s="122" t="s">
        <v>153</v>
      </c>
      <c r="B26" s="131" t="s">
        <v>479</v>
      </c>
      <c r="C26" s="92" t="s">
        <v>51</v>
      </c>
      <c r="D26" s="124">
        <v>40</v>
      </c>
      <c r="E26" s="124">
        <v>450</v>
      </c>
      <c r="F26" s="125">
        <f t="shared" si="1"/>
        <v>1.8</v>
      </c>
    </row>
    <row r="27" s="110" customFormat="1" ht="18" customHeight="1" outlineLevel="2" spans="1:6">
      <c r="A27" s="122" t="s">
        <v>155</v>
      </c>
      <c r="B27" s="131" t="s">
        <v>480</v>
      </c>
      <c r="C27" s="92" t="s">
        <v>51</v>
      </c>
      <c r="D27" s="124">
        <v>220</v>
      </c>
      <c r="E27" s="124">
        <v>2804.98</v>
      </c>
      <c r="F27" s="125">
        <f t="shared" si="1"/>
        <v>61.71</v>
      </c>
    </row>
    <row r="28" s="110" customFormat="1" ht="18" customHeight="1" outlineLevel="2" spans="1:6">
      <c r="A28" s="122" t="s">
        <v>157</v>
      </c>
      <c r="B28" s="131" t="s">
        <v>394</v>
      </c>
      <c r="C28" s="92" t="s">
        <v>41</v>
      </c>
      <c r="D28" s="128">
        <v>14</v>
      </c>
      <c r="E28" s="124">
        <v>4945.14</v>
      </c>
      <c r="F28" s="125">
        <f t="shared" si="1"/>
        <v>6.92</v>
      </c>
    </row>
    <row r="29" s="110" customFormat="1" ht="18" customHeight="1" outlineLevel="2" spans="1:6">
      <c r="A29" s="122" t="s">
        <v>78</v>
      </c>
      <c r="B29" s="123" t="s">
        <v>481</v>
      </c>
      <c r="C29" s="130"/>
      <c r="D29" s="127"/>
      <c r="E29" s="127"/>
      <c r="F29" s="125">
        <f>SUM(F30:F35)</f>
        <v>350.47</v>
      </c>
    </row>
    <row r="30" s="110" customFormat="1" ht="18" customHeight="1" outlineLevel="2" spans="1:6">
      <c r="A30" s="122" t="s">
        <v>43</v>
      </c>
      <c r="B30" s="131" t="s">
        <v>482</v>
      </c>
      <c r="C30" s="92" t="s">
        <v>51</v>
      </c>
      <c r="D30" s="124">
        <v>8261</v>
      </c>
      <c r="E30" s="124">
        <v>351.13</v>
      </c>
      <c r="F30" s="125">
        <f t="shared" ref="F30:F35" si="2">D30*E30/10000</f>
        <v>290.07</v>
      </c>
    </row>
    <row r="31" s="110" customFormat="1" ht="18" customHeight="1" outlineLevel="2" spans="1:6">
      <c r="A31" s="122" t="s">
        <v>46</v>
      </c>
      <c r="B31" s="131" t="s">
        <v>441</v>
      </c>
      <c r="C31" s="92" t="s">
        <v>483</v>
      </c>
      <c r="D31" s="128">
        <v>168</v>
      </c>
      <c r="E31" s="124">
        <v>360</v>
      </c>
      <c r="F31" s="125">
        <f t="shared" si="2"/>
        <v>6.05</v>
      </c>
    </row>
    <row r="32" s="110" customFormat="1" ht="18" customHeight="1" outlineLevel="2" spans="1:6">
      <c r="A32" s="122" t="s">
        <v>49</v>
      </c>
      <c r="B32" s="131" t="s">
        <v>164</v>
      </c>
      <c r="C32" s="92" t="s">
        <v>41</v>
      </c>
      <c r="D32" s="128">
        <v>252</v>
      </c>
      <c r="E32" s="124">
        <v>230</v>
      </c>
      <c r="F32" s="125">
        <f t="shared" si="2"/>
        <v>5.8</v>
      </c>
    </row>
    <row r="33" s="110" customFormat="1" ht="18" customHeight="1" outlineLevel="2" spans="1:6">
      <c r="A33" s="122" t="s">
        <v>62</v>
      </c>
      <c r="B33" s="131" t="s">
        <v>166</v>
      </c>
      <c r="C33" s="92" t="s">
        <v>41</v>
      </c>
      <c r="D33" s="128">
        <v>20</v>
      </c>
      <c r="E33" s="124">
        <v>13014.8</v>
      </c>
      <c r="F33" s="125">
        <f t="shared" si="2"/>
        <v>26.03</v>
      </c>
    </row>
    <row r="34" s="110" customFormat="1" ht="18" customHeight="1" outlineLevel="2" spans="1:6">
      <c r="A34" s="122" t="s">
        <v>65</v>
      </c>
      <c r="B34" s="131" t="s">
        <v>168</v>
      </c>
      <c r="C34" s="92" t="s">
        <v>41</v>
      </c>
      <c r="D34" s="128">
        <v>27</v>
      </c>
      <c r="E34" s="124">
        <v>7326.78</v>
      </c>
      <c r="F34" s="125">
        <f t="shared" si="2"/>
        <v>19.78</v>
      </c>
    </row>
    <row r="35" s="110" customFormat="1" ht="18" customHeight="1" outlineLevel="2" spans="1:6">
      <c r="A35" s="122" t="s">
        <v>68</v>
      </c>
      <c r="B35" s="131" t="s">
        <v>484</v>
      </c>
      <c r="C35" s="92" t="s">
        <v>41</v>
      </c>
      <c r="D35" s="128">
        <v>1</v>
      </c>
      <c r="E35" s="124">
        <v>27416.36</v>
      </c>
      <c r="F35" s="125">
        <f t="shared" si="2"/>
        <v>2.74</v>
      </c>
    </row>
    <row r="36" s="110" customFormat="1" ht="18" customHeight="1" outlineLevel="1" spans="1:6">
      <c r="A36" s="119" t="s">
        <v>71</v>
      </c>
      <c r="B36" s="120" t="s">
        <v>72</v>
      </c>
      <c r="C36" s="132"/>
      <c r="D36" s="133"/>
      <c r="E36" s="130"/>
      <c r="F36" s="118">
        <f>SUM(F37:F40)</f>
        <v>327.18</v>
      </c>
    </row>
    <row r="37" s="110" customFormat="1" ht="18" customHeight="1" outlineLevel="2" spans="1:6">
      <c r="A37" s="122">
        <v>1</v>
      </c>
      <c r="B37" s="123" t="s">
        <v>485</v>
      </c>
      <c r="C37" s="92" t="s">
        <v>218</v>
      </c>
      <c r="D37" s="124">
        <v>12147</v>
      </c>
      <c r="E37" s="124">
        <v>220</v>
      </c>
      <c r="F37" s="124">
        <f t="shared" ref="F37:F40" si="3">D37*E37/10000</f>
        <v>267.23</v>
      </c>
    </row>
    <row r="38" s="110" customFormat="1" ht="18" customHeight="1" outlineLevel="2" spans="1:6">
      <c r="A38" s="122">
        <v>2</v>
      </c>
      <c r="B38" s="123" t="s">
        <v>486</v>
      </c>
      <c r="C38" s="92" t="s">
        <v>218</v>
      </c>
      <c r="D38" s="124">
        <v>354</v>
      </c>
      <c r="E38" s="124">
        <v>220</v>
      </c>
      <c r="F38" s="124">
        <f t="shared" si="3"/>
        <v>7.79</v>
      </c>
    </row>
    <row r="39" s="110" customFormat="1" ht="18" customHeight="1" outlineLevel="2" spans="1:6">
      <c r="A39" s="122">
        <v>3</v>
      </c>
      <c r="B39" s="123" t="s">
        <v>487</v>
      </c>
      <c r="C39" s="92" t="s">
        <v>218</v>
      </c>
      <c r="D39" s="124">
        <v>1024</v>
      </c>
      <c r="E39" s="124">
        <v>361.7</v>
      </c>
      <c r="F39" s="124">
        <f t="shared" si="3"/>
        <v>37.04</v>
      </c>
    </row>
    <row r="40" s="110" customFormat="1" ht="18" customHeight="1" outlineLevel="2" spans="1:6">
      <c r="A40" s="122">
        <v>4</v>
      </c>
      <c r="B40" s="123" t="s">
        <v>488</v>
      </c>
      <c r="C40" s="92" t="s">
        <v>218</v>
      </c>
      <c r="D40" s="124">
        <v>432</v>
      </c>
      <c r="E40" s="124">
        <v>350</v>
      </c>
      <c r="F40" s="124">
        <f t="shared" si="3"/>
        <v>15.12</v>
      </c>
    </row>
    <row r="41" s="110" customFormat="1" ht="18" customHeight="1" outlineLevel="1" spans="1:8">
      <c r="A41" s="119" t="s">
        <v>92</v>
      </c>
      <c r="B41" s="120" t="s">
        <v>93</v>
      </c>
      <c r="C41" s="134"/>
      <c r="D41" s="135"/>
      <c r="E41" s="130"/>
      <c r="F41" s="118">
        <f>SUM(F42:F44)</f>
        <v>31.31</v>
      </c>
      <c r="G41" s="136"/>
      <c r="H41" s="136"/>
    </row>
    <row r="42" s="110" customFormat="1" ht="18" customHeight="1" outlineLevel="2" spans="1:8">
      <c r="A42" s="122">
        <v>1</v>
      </c>
      <c r="B42" s="123" t="s">
        <v>447</v>
      </c>
      <c r="C42" s="92" t="s">
        <v>51</v>
      </c>
      <c r="D42" s="124">
        <v>710</v>
      </c>
      <c r="E42" s="124">
        <v>234</v>
      </c>
      <c r="F42" s="124">
        <f t="shared" ref="F42:F44" si="4">D42*E42/10000</f>
        <v>16.61</v>
      </c>
      <c r="G42" s="136"/>
      <c r="H42" s="136"/>
    </row>
    <row r="43" s="110" customFormat="1" ht="18" customHeight="1" outlineLevel="2" spans="1:8">
      <c r="A43" s="122">
        <v>2</v>
      </c>
      <c r="B43" s="123" t="s">
        <v>489</v>
      </c>
      <c r="C43" s="92" t="s">
        <v>60</v>
      </c>
      <c r="D43" s="128">
        <v>6</v>
      </c>
      <c r="E43" s="124">
        <v>6500</v>
      </c>
      <c r="F43" s="124">
        <f t="shared" si="4"/>
        <v>3.9</v>
      </c>
      <c r="G43" s="136"/>
      <c r="H43" s="136"/>
    </row>
    <row r="44" s="110" customFormat="1" ht="18" customHeight="1" outlineLevel="2" spans="1:8">
      <c r="A44" s="122">
        <v>3</v>
      </c>
      <c r="B44" s="123" t="s">
        <v>490</v>
      </c>
      <c r="C44" s="92" t="s">
        <v>225</v>
      </c>
      <c r="D44" s="128">
        <v>18</v>
      </c>
      <c r="E44" s="124">
        <v>6000</v>
      </c>
      <c r="F44" s="124">
        <f t="shared" si="4"/>
        <v>10.8</v>
      </c>
      <c r="G44" s="136"/>
      <c r="H44" s="136"/>
    </row>
    <row r="45" s="109" customFormat="1" ht="18" customHeight="1" spans="1:6">
      <c r="A45" s="94" t="s">
        <v>100</v>
      </c>
      <c r="B45" s="95" t="s">
        <v>101</v>
      </c>
      <c r="C45" s="96"/>
      <c r="D45" s="117"/>
      <c r="E45" s="117"/>
      <c r="F45" s="137">
        <v>136.48</v>
      </c>
    </row>
    <row r="46" s="110" customFormat="1" ht="25" customHeight="1" spans="1:6">
      <c r="A46" s="138">
        <v>1</v>
      </c>
      <c r="B46" s="139" t="s">
        <v>371</v>
      </c>
      <c r="C46" s="134"/>
      <c r="D46" s="135"/>
      <c r="E46" s="130"/>
      <c r="F46" s="140">
        <v>20</v>
      </c>
    </row>
    <row r="47" s="110" customFormat="1" ht="25" customHeight="1" spans="1:6">
      <c r="A47" s="138">
        <v>2</v>
      </c>
      <c r="B47" s="139" t="s">
        <v>416</v>
      </c>
      <c r="C47" s="134"/>
      <c r="D47" s="135"/>
      <c r="E47" s="130"/>
      <c r="F47" s="140">
        <v>5</v>
      </c>
    </row>
    <row r="48" s="109" customFormat="1" ht="25" customHeight="1" spans="1:6">
      <c r="A48" s="138">
        <v>3</v>
      </c>
      <c r="B48" s="139" t="s">
        <v>373</v>
      </c>
      <c r="C48" s="121"/>
      <c r="D48" s="117"/>
      <c r="E48" s="117"/>
      <c r="F48" s="140">
        <v>34.75</v>
      </c>
    </row>
    <row r="49" s="109" customFormat="1" ht="25" customHeight="1" spans="1:6">
      <c r="A49" s="138">
        <v>4</v>
      </c>
      <c r="B49" s="141" t="s">
        <v>107</v>
      </c>
      <c r="C49" s="121"/>
      <c r="D49" s="117"/>
      <c r="E49" s="117"/>
      <c r="F49" s="140">
        <v>11.86</v>
      </c>
    </row>
    <row r="50" s="110" customFormat="1" ht="25" customHeight="1" spans="1:6">
      <c r="A50" s="138">
        <v>5</v>
      </c>
      <c r="B50" s="139" t="s">
        <v>109</v>
      </c>
      <c r="C50" s="130"/>
      <c r="D50" s="135"/>
      <c r="E50" s="130"/>
      <c r="F50" s="140">
        <v>4.92</v>
      </c>
    </row>
    <row r="51" s="110" customFormat="1" ht="25" customHeight="1" spans="1:6">
      <c r="A51" s="138">
        <v>6</v>
      </c>
      <c r="B51" s="139" t="s">
        <v>112</v>
      </c>
      <c r="C51" s="130"/>
      <c r="D51" s="135"/>
      <c r="E51" s="130"/>
      <c r="F51" s="130"/>
    </row>
    <row r="52" s="110" customFormat="1" ht="25" customHeight="1" spans="1:6">
      <c r="A52" s="122" t="s">
        <v>43</v>
      </c>
      <c r="B52" s="141" t="s">
        <v>113</v>
      </c>
      <c r="C52" s="130"/>
      <c r="D52" s="135"/>
      <c r="E52" s="130"/>
      <c r="F52" s="140">
        <v>16.38</v>
      </c>
    </row>
    <row r="53" s="110" customFormat="1" ht="25" customHeight="1" spans="1:6">
      <c r="A53" s="122" t="s">
        <v>46</v>
      </c>
      <c r="B53" s="141" t="s">
        <v>115</v>
      </c>
      <c r="C53" s="130"/>
      <c r="D53" s="135"/>
      <c r="E53" s="130"/>
      <c r="F53" s="140">
        <v>40.49</v>
      </c>
    </row>
    <row r="54" s="110" customFormat="1" ht="25" customHeight="1" spans="1:6">
      <c r="A54" s="138" t="s">
        <v>89</v>
      </c>
      <c r="B54" s="139" t="s">
        <v>117</v>
      </c>
      <c r="C54" s="130"/>
      <c r="D54" s="135"/>
      <c r="E54" s="130"/>
      <c r="F54" s="140">
        <v>3.08</v>
      </c>
    </row>
    <row r="55" s="109" customFormat="1" ht="18" customHeight="1" spans="1:6">
      <c r="A55" s="94" t="s">
        <v>119</v>
      </c>
      <c r="B55" s="95" t="s">
        <v>120</v>
      </c>
      <c r="C55" s="102" t="s">
        <v>36</v>
      </c>
      <c r="D55" s="103">
        <v>1388.87</v>
      </c>
      <c r="E55" s="103">
        <f>F55/D55*10000</f>
        <v>12778.73</v>
      </c>
      <c r="F55" s="103">
        <f>F5+F45</f>
        <v>1774.8</v>
      </c>
    </row>
    <row r="56" s="110" customFormat="1" ht="20" customHeight="1" spans="1:6">
      <c r="A56" s="142"/>
      <c r="B56" s="136"/>
      <c r="C56" s="143"/>
      <c r="E56" s="143"/>
      <c r="F56" s="143"/>
    </row>
  </sheetData>
  <mergeCells count="1">
    <mergeCell ref="A2:F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workbookViewId="0">
      <selection activeCell="J16" sqref="J16"/>
    </sheetView>
  </sheetViews>
  <sheetFormatPr defaultColWidth="8.875" defaultRowHeight="20.1" customHeight="1"/>
  <cols>
    <col min="1" max="1" width="7.125" style="64" customWidth="1"/>
    <col min="2" max="2" width="32.625" style="65" customWidth="1"/>
    <col min="3" max="3" width="8.625" style="66" customWidth="1"/>
    <col min="4" max="4" width="12.625" style="30" customWidth="1"/>
    <col min="5" max="6" width="12.625" style="66" customWidth="1"/>
    <col min="7" max="16384" width="8.875" style="30"/>
  </cols>
  <sheetData>
    <row r="1" customHeight="1" spans="1:1">
      <c r="A1" s="67" t="s">
        <v>491</v>
      </c>
    </row>
    <row r="2" s="62" customFormat="1" ht="20.85" customHeight="1" spans="1:6">
      <c r="A2" s="68" t="s">
        <v>492</v>
      </c>
      <c r="B2" s="68"/>
      <c r="C2" s="68"/>
      <c r="D2" s="68"/>
      <c r="E2" s="68"/>
      <c r="F2" s="68"/>
    </row>
    <row r="3" ht="27.4" customHeight="1" spans="1:6">
      <c r="A3" s="69" t="s">
        <v>1</v>
      </c>
      <c r="B3" s="70" t="s">
        <v>332</v>
      </c>
      <c r="C3" s="71" t="s">
        <v>28</v>
      </c>
      <c r="D3" s="71" t="s">
        <v>29</v>
      </c>
      <c r="E3" s="72" t="s">
        <v>30</v>
      </c>
      <c r="F3" s="72" t="s">
        <v>31</v>
      </c>
    </row>
    <row r="4" s="63" customFormat="1" ht="18" customHeight="1" spans="1:6">
      <c r="A4" s="73" t="s">
        <v>32</v>
      </c>
      <c r="B4" s="74" t="s">
        <v>33</v>
      </c>
      <c r="C4" s="70"/>
      <c r="D4" s="71"/>
      <c r="E4" s="71"/>
      <c r="F4" s="75">
        <v>394.66</v>
      </c>
    </row>
    <row r="5" s="63" customFormat="1" ht="18" customHeight="1" outlineLevel="1" spans="1:6">
      <c r="A5" s="73" t="s">
        <v>34</v>
      </c>
      <c r="B5" s="74" t="s">
        <v>35</v>
      </c>
      <c r="C5" s="70"/>
      <c r="D5" s="71"/>
      <c r="E5" s="71"/>
      <c r="F5" s="75">
        <v>3</v>
      </c>
    </row>
    <row r="6" s="63" customFormat="1" ht="18" customHeight="1" outlineLevel="2" spans="1:7">
      <c r="A6" s="76" t="s">
        <v>39</v>
      </c>
      <c r="B6" s="77" t="s">
        <v>122</v>
      </c>
      <c r="C6" s="78" t="s">
        <v>36</v>
      </c>
      <c r="D6" s="79">
        <v>150</v>
      </c>
      <c r="E6" s="79">
        <v>200</v>
      </c>
      <c r="F6" s="80">
        <v>3</v>
      </c>
      <c r="G6" s="81"/>
    </row>
    <row r="7" s="63" customFormat="1" ht="18" customHeight="1" outlineLevel="2" spans="1:7">
      <c r="A7" s="76" t="s">
        <v>52</v>
      </c>
      <c r="B7" s="77" t="s">
        <v>35</v>
      </c>
      <c r="C7" s="78"/>
      <c r="D7" s="79"/>
      <c r="E7" s="79"/>
      <c r="F7" s="80"/>
      <c r="G7" s="81"/>
    </row>
    <row r="8" ht="18" customHeight="1" outlineLevel="1" spans="1:6">
      <c r="A8" s="73" t="s">
        <v>37</v>
      </c>
      <c r="B8" s="74" t="s">
        <v>38</v>
      </c>
      <c r="C8" s="82"/>
      <c r="D8" s="83"/>
      <c r="E8" s="79"/>
      <c r="F8" s="75">
        <v>370.95</v>
      </c>
    </row>
    <row r="9" ht="18" customHeight="1" outlineLevel="2" spans="1:6">
      <c r="A9" s="76">
        <v>1</v>
      </c>
      <c r="B9" s="77" t="s">
        <v>493</v>
      </c>
      <c r="C9" s="78" t="s">
        <v>41</v>
      </c>
      <c r="D9" s="84">
        <v>1</v>
      </c>
      <c r="E9" s="79"/>
      <c r="F9" s="80">
        <v>22.92</v>
      </c>
    </row>
    <row r="10" ht="18" customHeight="1" outlineLevel="2" spans="1:6">
      <c r="A10" s="76" t="s">
        <v>43</v>
      </c>
      <c r="B10" s="85" t="s">
        <v>44</v>
      </c>
      <c r="C10" s="78" t="s">
        <v>41</v>
      </c>
      <c r="D10" s="84">
        <v>1</v>
      </c>
      <c r="E10" s="79">
        <v>100000</v>
      </c>
      <c r="F10" s="80">
        <v>10</v>
      </c>
    </row>
    <row r="11" ht="18" customHeight="1" outlineLevel="2" spans="1:6">
      <c r="A11" s="76" t="s">
        <v>46</v>
      </c>
      <c r="B11" s="85" t="s">
        <v>456</v>
      </c>
      <c r="C11" s="78" t="s">
        <v>41</v>
      </c>
      <c r="D11" s="84">
        <v>1</v>
      </c>
      <c r="E11" s="79">
        <v>79618.97</v>
      </c>
      <c r="F11" s="80">
        <v>7.96</v>
      </c>
    </row>
    <row r="12" ht="18" customHeight="1" outlineLevel="2" spans="1:6">
      <c r="A12" s="76" t="s">
        <v>49</v>
      </c>
      <c r="B12" s="85" t="s">
        <v>494</v>
      </c>
      <c r="C12" s="78" t="s">
        <v>51</v>
      </c>
      <c r="D12" s="84">
        <v>20</v>
      </c>
      <c r="E12" s="79">
        <v>2478.25</v>
      </c>
      <c r="F12" s="80">
        <v>4.96</v>
      </c>
    </row>
    <row r="13" ht="18" customHeight="1" outlineLevel="2" spans="1:6">
      <c r="A13" s="76" t="s">
        <v>52</v>
      </c>
      <c r="B13" s="77" t="s">
        <v>457</v>
      </c>
      <c r="C13" s="86"/>
      <c r="D13" s="79"/>
      <c r="E13" s="83"/>
      <c r="F13" s="80">
        <v>201.41</v>
      </c>
    </row>
    <row r="14" ht="18" customHeight="1" outlineLevel="2" spans="1:6">
      <c r="A14" s="76" t="s">
        <v>43</v>
      </c>
      <c r="B14" s="87" t="s">
        <v>299</v>
      </c>
      <c r="C14" s="78" t="s">
        <v>51</v>
      </c>
      <c r="D14" s="79">
        <v>1095</v>
      </c>
      <c r="E14" s="79">
        <v>651.96</v>
      </c>
      <c r="F14" s="80">
        <v>71.39</v>
      </c>
    </row>
    <row r="15" ht="18" customHeight="1" outlineLevel="2" spans="1:6">
      <c r="A15" s="76" t="s">
        <v>46</v>
      </c>
      <c r="B15" s="87" t="s">
        <v>300</v>
      </c>
      <c r="C15" s="78" t="s">
        <v>51</v>
      </c>
      <c r="D15" s="79">
        <v>158</v>
      </c>
      <c r="E15" s="79">
        <v>400.75</v>
      </c>
      <c r="F15" s="80">
        <v>6.33</v>
      </c>
    </row>
    <row r="16" ht="18" customHeight="1" outlineLevel="2" spans="1:6">
      <c r="A16" s="76" t="s">
        <v>49</v>
      </c>
      <c r="B16" s="87" t="s">
        <v>301</v>
      </c>
      <c r="C16" s="78" t="s">
        <v>51</v>
      </c>
      <c r="D16" s="79">
        <v>788</v>
      </c>
      <c r="E16" s="79">
        <v>234.31</v>
      </c>
      <c r="F16" s="80">
        <v>18.46</v>
      </c>
    </row>
    <row r="17" ht="18" customHeight="1" outlineLevel="2" spans="1:6">
      <c r="A17" s="76" t="s">
        <v>62</v>
      </c>
      <c r="B17" s="87" t="s">
        <v>302</v>
      </c>
      <c r="C17" s="78" t="s">
        <v>51</v>
      </c>
      <c r="D17" s="79">
        <v>2008</v>
      </c>
      <c r="E17" s="79">
        <v>159.05</v>
      </c>
      <c r="F17" s="80">
        <v>31.94</v>
      </c>
    </row>
    <row r="18" ht="18" customHeight="1" outlineLevel="2" spans="1:7">
      <c r="A18" s="76" t="s">
        <v>65</v>
      </c>
      <c r="B18" s="87" t="s">
        <v>303</v>
      </c>
      <c r="C18" s="78" t="s">
        <v>51</v>
      </c>
      <c r="D18" s="79">
        <v>247</v>
      </c>
      <c r="E18" s="79">
        <v>75.22</v>
      </c>
      <c r="F18" s="80">
        <v>1.86</v>
      </c>
      <c r="G18" s="88"/>
    </row>
    <row r="19" ht="18" customHeight="1" outlineLevel="2" spans="1:6">
      <c r="A19" s="76" t="s">
        <v>68</v>
      </c>
      <c r="B19" s="87" t="s">
        <v>335</v>
      </c>
      <c r="C19" s="78" t="s">
        <v>95</v>
      </c>
      <c r="D19" s="79">
        <v>1</v>
      </c>
      <c r="E19" s="79">
        <v>123930</v>
      </c>
      <c r="F19" s="80">
        <v>12.39</v>
      </c>
    </row>
    <row r="20" ht="18" customHeight="1" outlineLevel="2" spans="1:7">
      <c r="A20" s="76" t="s">
        <v>136</v>
      </c>
      <c r="B20" s="87" t="s">
        <v>341</v>
      </c>
      <c r="C20" s="78" t="s">
        <v>51</v>
      </c>
      <c r="D20" s="79">
        <v>60</v>
      </c>
      <c r="E20" s="79">
        <v>2300</v>
      </c>
      <c r="F20" s="80">
        <v>13.8</v>
      </c>
      <c r="G20" s="81"/>
    </row>
    <row r="21" ht="18" customHeight="1" outlineLevel="2" spans="1:6">
      <c r="A21" s="76" t="s">
        <v>138</v>
      </c>
      <c r="B21" s="87" t="s">
        <v>342</v>
      </c>
      <c r="C21" s="78" t="s">
        <v>41</v>
      </c>
      <c r="D21" s="79">
        <v>2</v>
      </c>
      <c r="E21" s="79">
        <v>3479.53</v>
      </c>
      <c r="F21" s="80">
        <v>0.7</v>
      </c>
    </row>
    <row r="22" ht="18" customHeight="1" outlineLevel="2" spans="1:6">
      <c r="A22" s="76" t="s">
        <v>140</v>
      </c>
      <c r="B22" s="87" t="s">
        <v>495</v>
      </c>
      <c r="C22" s="78" t="s">
        <v>51</v>
      </c>
      <c r="D22" s="79">
        <v>90</v>
      </c>
      <c r="E22" s="79">
        <v>1248.41</v>
      </c>
      <c r="F22" s="80">
        <v>11.24</v>
      </c>
    </row>
    <row r="23" ht="18" customHeight="1" outlineLevel="2" spans="1:6">
      <c r="A23" s="76" t="s">
        <v>143</v>
      </c>
      <c r="B23" s="87" t="s">
        <v>496</v>
      </c>
      <c r="C23" s="78" t="s">
        <v>41</v>
      </c>
      <c r="D23" s="79">
        <v>4</v>
      </c>
      <c r="E23" s="79">
        <v>2284.34</v>
      </c>
      <c r="F23" s="80">
        <v>0.91</v>
      </c>
    </row>
    <row r="24" ht="18" customHeight="1" outlineLevel="2" spans="1:6">
      <c r="A24" s="76" t="s">
        <v>145</v>
      </c>
      <c r="B24" s="87" t="s">
        <v>348</v>
      </c>
      <c r="C24" s="78" t="s">
        <v>41</v>
      </c>
      <c r="D24" s="79">
        <v>4</v>
      </c>
      <c r="E24" s="79">
        <v>10528.38</v>
      </c>
      <c r="F24" s="80">
        <v>4.21</v>
      </c>
    </row>
    <row r="25" ht="18" customHeight="1" outlineLevel="2" spans="1:6">
      <c r="A25" s="76" t="s">
        <v>148</v>
      </c>
      <c r="B25" s="87" t="s">
        <v>352</v>
      </c>
      <c r="C25" s="78" t="s">
        <v>41</v>
      </c>
      <c r="D25" s="79">
        <v>4</v>
      </c>
      <c r="E25" s="79">
        <v>7129.12</v>
      </c>
      <c r="F25" s="80">
        <v>2.85</v>
      </c>
    </row>
    <row r="26" ht="18" customHeight="1" outlineLevel="2" spans="1:6">
      <c r="A26" s="76" t="s">
        <v>151</v>
      </c>
      <c r="B26" s="87" t="s">
        <v>354</v>
      </c>
      <c r="C26" s="78" t="s">
        <v>41</v>
      </c>
      <c r="D26" s="79">
        <v>15</v>
      </c>
      <c r="E26" s="79">
        <v>6636.48</v>
      </c>
      <c r="F26" s="80">
        <v>9.95</v>
      </c>
    </row>
    <row r="27" ht="18" customHeight="1" outlineLevel="2" spans="1:6">
      <c r="A27" s="76" t="s">
        <v>153</v>
      </c>
      <c r="B27" s="87" t="s">
        <v>146</v>
      </c>
      <c r="C27" s="78" t="s">
        <v>60</v>
      </c>
      <c r="D27" s="79">
        <v>124</v>
      </c>
      <c r="E27" s="79">
        <v>1240.19</v>
      </c>
      <c r="F27" s="80">
        <v>15.38</v>
      </c>
    </row>
    <row r="28" ht="18" customHeight="1" outlineLevel="2" spans="1:6">
      <c r="A28" s="76" t="s">
        <v>78</v>
      </c>
      <c r="B28" s="77" t="s">
        <v>162</v>
      </c>
      <c r="C28" s="86"/>
      <c r="D28" s="83"/>
      <c r="E28" s="83"/>
      <c r="F28" s="80">
        <v>146.62</v>
      </c>
    </row>
    <row r="29" ht="18" customHeight="1" outlineLevel="2" spans="1:7">
      <c r="A29" s="76" t="s">
        <v>43</v>
      </c>
      <c r="B29" s="87" t="s">
        <v>458</v>
      </c>
      <c r="C29" s="78" t="s">
        <v>356</v>
      </c>
      <c r="D29" s="79">
        <v>124</v>
      </c>
      <c r="E29" s="79">
        <v>270</v>
      </c>
      <c r="F29" s="80">
        <v>3.35</v>
      </c>
      <c r="G29" s="81"/>
    </row>
    <row r="30" ht="18" customHeight="1" outlineLevel="2" spans="1:7">
      <c r="A30" s="76" t="s">
        <v>46</v>
      </c>
      <c r="B30" s="87" t="s">
        <v>357</v>
      </c>
      <c r="C30" s="78" t="s">
        <v>51</v>
      </c>
      <c r="D30" s="79">
        <v>2715</v>
      </c>
      <c r="E30" s="79">
        <v>316.22</v>
      </c>
      <c r="F30" s="80">
        <v>85.85</v>
      </c>
      <c r="G30" s="89"/>
    </row>
    <row r="31" ht="18" customHeight="1" outlineLevel="2" spans="1:7">
      <c r="A31" s="76" t="s">
        <v>49</v>
      </c>
      <c r="B31" s="87" t="s">
        <v>358</v>
      </c>
      <c r="C31" s="78" t="s">
        <v>51</v>
      </c>
      <c r="D31" s="79">
        <v>1048</v>
      </c>
      <c r="E31" s="79">
        <v>350</v>
      </c>
      <c r="F31" s="80">
        <v>36.68</v>
      </c>
      <c r="G31" s="89"/>
    </row>
    <row r="32" ht="18" customHeight="1" outlineLevel="2" spans="1:7">
      <c r="A32" s="76" t="s">
        <v>62</v>
      </c>
      <c r="B32" s="87" t="s">
        <v>497</v>
      </c>
      <c r="C32" s="78" t="s">
        <v>60</v>
      </c>
      <c r="D32" s="79">
        <v>125</v>
      </c>
      <c r="E32" s="79">
        <v>60</v>
      </c>
      <c r="F32" s="80">
        <v>0.75</v>
      </c>
      <c r="G32" s="81"/>
    </row>
    <row r="33" ht="18" customHeight="1" outlineLevel="2" spans="1:7">
      <c r="A33" s="76" t="s">
        <v>65</v>
      </c>
      <c r="B33" s="87" t="s">
        <v>360</v>
      </c>
      <c r="C33" s="78" t="s">
        <v>41</v>
      </c>
      <c r="D33" s="79">
        <v>4</v>
      </c>
      <c r="E33" s="79">
        <v>10000</v>
      </c>
      <c r="F33" s="80">
        <v>4</v>
      </c>
      <c r="G33" s="81"/>
    </row>
    <row r="34" ht="18" customHeight="1" outlineLevel="2" spans="1:7">
      <c r="A34" s="76" t="s">
        <v>68</v>
      </c>
      <c r="B34" s="87" t="s">
        <v>459</v>
      </c>
      <c r="C34" s="78" t="s">
        <v>41</v>
      </c>
      <c r="D34" s="79">
        <v>28</v>
      </c>
      <c r="E34" s="79">
        <v>940</v>
      </c>
      <c r="F34" s="80">
        <v>2.63</v>
      </c>
      <c r="G34" s="81"/>
    </row>
    <row r="35" ht="18" customHeight="1" outlineLevel="2" spans="1:6">
      <c r="A35" s="76" t="s">
        <v>136</v>
      </c>
      <c r="B35" s="87" t="s">
        <v>362</v>
      </c>
      <c r="C35" s="78" t="s">
        <v>51</v>
      </c>
      <c r="D35" s="79">
        <v>51</v>
      </c>
      <c r="E35" s="79">
        <v>870.72</v>
      </c>
      <c r="F35" s="80">
        <v>4.44</v>
      </c>
    </row>
    <row r="36" ht="18" customHeight="1" outlineLevel="2" spans="1:6">
      <c r="A36" s="76" t="s">
        <v>138</v>
      </c>
      <c r="B36" s="87" t="s">
        <v>363</v>
      </c>
      <c r="C36" s="78" t="s">
        <v>51</v>
      </c>
      <c r="D36" s="79">
        <v>157</v>
      </c>
      <c r="E36" s="79">
        <v>568.38</v>
      </c>
      <c r="F36" s="80">
        <v>8.92</v>
      </c>
    </row>
    <row r="37" ht="18" customHeight="1" outlineLevel="2" spans="1:6">
      <c r="A37" s="73" t="s">
        <v>71</v>
      </c>
      <c r="B37" s="74" t="s">
        <v>72</v>
      </c>
      <c r="C37" s="90"/>
      <c r="D37" s="91"/>
      <c r="E37" s="86"/>
      <c r="F37" s="75">
        <v>20.71</v>
      </c>
    </row>
    <row r="38" ht="18" customHeight="1" outlineLevel="2" spans="1:6">
      <c r="A38" s="76">
        <v>1</v>
      </c>
      <c r="B38" s="77" t="s">
        <v>321</v>
      </c>
      <c r="C38" s="92" t="s">
        <v>218</v>
      </c>
      <c r="D38" s="79">
        <v>210</v>
      </c>
      <c r="E38" s="79">
        <v>220</v>
      </c>
      <c r="F38" s="93">
        <v>4.62</v>
      </c>
    </row>
    <row r="39" ht="18" customHeight="1" outlineLevel="2" spans="1:6">
      <c r="A39" s="76">
        <v>2</v>
      </c>
      <c r="B39" s="77" t="s">
        <v>172</v>
      </c>
      <c r="C39" s="92" t="s">
        <v>218</v>
      </c>
      <c r="D39" s="79">
        <v>144</v>
      </c>
      <c r="E39" s="79">
        <v>276.88</v>
      </c>
      <c r="F39" s="93">
        <v>3.99</v>
      </c>
    </row>
    <row r="40" s="63" customFormat="1" ht="18" customHeight="1" spans="1:6">
      <c r="A40" s="76">
        <v>3</v>
      </c>
      <c r="B40" s="77" t="s">
        <v>498</v>
      </c>
      <c r="C40" s="92" t="s">
        <v>218</v>
      </c>
      <c r="D40" s="79">
        <v>336</v>
      </c>
      <c r="E40" s="79">
        <v>360</v>
      </c>
      <c r="F40" s="93">
        <v>12.1</v>
      </c>
    </row>
    <row r="41" ht="18" customHeight="1" spans="1:6">
      <c r="A41" s="94" t="s">
        <v>100</v>
      </c>
      <c r="B41" s="95" t="s">
        <v>101</v>
      </c>
      <c r="C41" s="96"/>
      <c r="D41" s="97"/>
      <c r="E41" s="97"/>
      <c r="F41" s="98">
        <v>36.71</v>
      </c>
    </row>
    <row r="42" ht="18" customHeight="1" spans="1:6">
      <c r="A42" s="76" t="s">
        <v>39</v>
      </c>
      <c r="B42" s="99" t="s">
        <v>371</v>
      </c>
      <c r="C42" s="100"/>
      <c r="D42" s="101"/>
      <c r="E42" s="86"/>
      <c r="F42" s="93">
        <v>2.99</v>
      </c>
    </row>
    <row r="43" ht="18" customHeight="1" spans="1:6">
      <c r="A43" s="76" t="s">
        <v>52</v>
      </c>
      <c r="B43" s="99" t="s">
        <v>372</v>
      </c>
      <c r="C43" s="100"/>
      <c r="D43" s="101"/>
      <c r="E43" s="86"/>
      <c r="F43" s="93">
        <v>1.2</v>
      </c>
    </row>
    <row r="44" ht="18" customHeight="1" spans="1:6">
      <c r="A44" s="76" t="s">
        <v>78</v>
      </c>
      <c r="B44" s="99" t="s">
        <v>107</v>
      </c>
      <c r="C44" s="70"/>
      <c r="D44" s="71"/>
      <c r="E44" s="71"/>
      <c r="F44" s="93">
        <v>3.07</v>
      </c>
    </row>
    <row r="45" s="63" customFormat="1" ht="18" customHeight="1" spans="1:6">
      <c r="A45" s="76" t="s">
        <v>80</v>
      </c>
      <c r="B45" s="99" t="s">
        <v>104</v>
      </c>
      <c r="C45" s="100"/>
      <c r="D45" s="101"/>
      <c r="E45" s="86"/>
      <c r="F45" s="93">
        <v>9</v>
      </c>
    </row>
    <row r="46" ht="18" customHeight="1" spans="1:6">
      <c r="A46" s="76" t="s">
        <v>83</v>
      </c>
      <c r="B46" s="99" t="s">
        <v>109</v>
      </c>
      <c r="C46" s="86"/>
      <c r="D46" s="101"/>
      <c r="E46" s="86"/>
      <c r="F46" s="93">
        <v>2.8</v>
      </c>
    </row>
    <row r="47" ht="18" customHeight="1" spans="1:6">
      <c r="A47" s="76" t="s">
        <v>85</v>
      </c>
      <c r="B47" s="99" t="s">
        <v>112</v>
      </c>
      <c r="C47" s="86"/>
      <c r="D47" s="101"/>
      <c r="E47" s="86"/>
      <c r="F47" s="93">
        <v>17.28</v>
      </c>
    </row>
    <row r="48" s="63" customFormat="1" ht="18" customHeight="1" spans="1:6">
      <c r="A48" s="76" t="s">
        <v>89</v>
      </c>
      <c r="B48" s="99" t="s">
        <v>117</v>
      </c>
      <c r="C48" s="100"/>
      <c r="D48" s="101"/>
      <c r="E48" s="86"/>
      <c r="F48" s="93">
        <v>0.37</v>
      </c>
    </row>
    <row r="49" customHeight="1" spans="1:6">
      <c r="A49" s="94" t="s">
        <v>119</v>
      </c>
      <c r="B49" s="95" t="s">
        <v>120</v>
      </c>
      <c r="C49" s="102" t="s">
        <v>36</v>
      </c>
      <c r="D49" s="103">
        <v>359.84</v>
      </c>
      <c r="E49" s="103">
        <v>12086.36</v>
      </c>
      <c r="F49" s="98">
        <f>F41+F4</f>
        <v>431.37</v>
      </c>
    </row>
    <row r="50" customHeight="1" spans="1:6">
      <c r="A50" s="104"/>
      <c r="B50" s="105"/>
      <c r="C50" s="106"/>
      <c r="D50" s="107"/>
      <c r="E50" s="107"/>
      <c r="F50" s="108"/>
    </row>
    <row r="51" customHeight="1" spans="12:12">
      <c r="L51" s="65"/>
    </row>
    <row r="52" customHeight="1" spans="12:12">
      <c r="L52" s="65"/>
    </row>
    <row r="53" customHeight="1" spans="12:12">
      <c r="L53" s="65"/>
    </row>
  </sheetData>
  <mergeCells count="1">
    <mergeCell ref="A2:F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7"/>
  <sheetViews>
    <sheetView workbookViewId="0">
      <pane ySplit="3" topLeftCell="A25" activePane="bottomLeft" state="frozen"/>
      <selection/>
      <selection pane="bottomLeft" activeCell="C34" sqref="C34"/>
    </sheetView>
  </sheetViews>
  <sheetFormatPr defaultColWidth="8.875" defaultRowHeight="20.1" customHeight="1"/>
  <cols>
    <col min="1" max="1" width="8" style="35" customWidth="1"/>
    <col min="2" max="2" width="8.875" style="35"/>
    <col min="3" max="3" width="24.25" style="35" customWidth="1"/>
    <col min="4" max="4" width="6.75" style="35" customWidth="1"/>
    <col min="5" max="5" width="9.625" style="35" customWidth="1"/>
    <col min="6" max="6" width="11.375" style="35" customWidth="1"/>
    <col min="7" max="8" width="12.875" style="35" customWidth="1"/>
    <col min="9" max="9" width="12.625" style="35" customWidth="1"/>
    <col min="10" max="10" width="17.125" style="35" customWidth="1"/>
    <col min="11" max="11" width="10.25" style="35" customWidth="1"/>
    <col min="12" max="16384" width="8.875" style="35"/>
  </cols>
  <sheetData>
    <row r="1" ht="37.5" customHeight="1" spans="1:8">
      <c r="A1" s="36" t="s">
        <v>499</v>
      </c>
      <c r="B1" s="36"/>
      <c r="C1" s="36"/>
      <c r="D1" s="36"/>
      <c r="E1" s="36"/>
      <c r="F1" s="36"/>
      <c r="G1" s="36"/>
      <c r="H1" s="36"/>
    </row>
    <row r="2" customHeight="1" spans="1:9">
      <c r="A2" s="37" t="s">
        <v>1</v>
      </c>
      <c r="B2" s="37" t="s">
        <v>500</v>
      </c>
      <c r="C2" s="37" t="s">
        <v>501</v>
      </c>
      <c r="D2" s="37" t="s">
        <v>28</v>
      </c>
      <c r="E2" s="37" t="s">
        <v>29</v>
      </c>
      <c r="F2" s="37" t="s">
        <v>502</v>
      </c>
      <c r="G2" s="37" t="s">
        <v>503</v>
      </c>
      <c r="H2" s="37" t="s">
        <v>27</v>
      </c>
      <c r="I2" s="52"/>
    </row>
    <row r="3" customHeight="1" spans="1:11">
      <c r="A3" s="38" t="s">
        <v>32</v>
      </c>
      <c r="B3" s="38" t="s">
        <v>504</v>
      </c>
      <c r="C3" s="37"/>
      <c r="D3" s="37"/>
      <c r="E3" s="39"/>
      <c r="F3" s="39"/>
      <c r="G3" s="40" t="e">
        <f>G4+G6+G29+G33+G40+G43</f>
        <v>#REF!</v>
      </c>
      <c r="H3" s="40"/>
      <c r="J3" s="35">
        <v>1287</v>
      </c>
      <c r="K3" s="53" t="e">
        <f>G3/J3</f>
        <v>#REF!</v>
      </c>
    </row>
    <row r="4" customHeight="1" spans="1:11">
      <c r="A4" s="38" t="s">
        <v>34</v>
      </c>
      <c r="B4" s="38"/>
      <c r="C4" s="41" t="s">
        <v>505</v>
      </c>
      <c r="D4" s="38"/>
      <c r="E4" s="40"/>
      <c r="F4" s="40"/>
      <c r="G4" s="40">
        <f>SUM(G5:G5)</f>
        <v>56.15</v>
      </c>
      <c r="H4" s="40"/>
      <c r="J4" s="54" t="e">
        <f>G64</f>
        <v>#REF!</v>
      </c>
      <c r="K4" s="55" t="e">
        <f>J4/J3</f>
        <v>#REF!</v>
      </c>
    </row>
    <row r="5" customHeight="1" spans="1:8">
      <c r="A5" s="37">
        <v>1</v>
      </c>
      <c r="B5" s="37"/>
      <c r="C5" s="42" t="s">
        <v>35</v>
      </c>
      <c r="D5" s="43" t="s">
        <v>36</v>
      </c>
      <c r="E5" s="39">
        <v>1123</v>
      </c>
      <c r="F5" s="39">
        <v>500</v>
      </c>
      <c r="G5" s="39">
        <f>F5*E5/10000</f>
        <v>56.15</v>
      </c>
      <c r="H5" s="39"/>
    </row>
    <row r="6" s="34" customFormat="1" customHeight="1" spans="1:11">
      <c r="A6" s="38" t="s">
        <v>37</v>
      </c>
      <c r="B6" s="38"/>
      <c r="C6" s="41" t="s">
        <v>506</v>
      </c>
      <c r="D6" s="44"/>
      <c r="E6" s="40"/>
      <c r="F6" s="40"/>
      <c r="G6" s="40" t="e">
        <f>SUM(G7,G8,G9,G10,G22)</f>
        <v>#REF!</v>
      </c>
      <c r="H6" s="40"/>
      <c r="J6" s="56" t="e">
        <f>光明跃进!F42-'6#7#'!J4</f>
        <v>#REF!</v>
      </c>
      <c r="K6" s="57" t="e">
        <f>J6/J7</f>
        <v>#REF!</v>
      </c>
    </row>
    <row r="7" customHeight="1" spans="1:10">
      <c r="A7" s="45" t="s">
        <v>39</v>
      </c>
      <c r="B7" s="46"/>
      <c r="C7" s="42" t="s">
        <v>507</v>
      </c>
      <c r="D7" s="45" t="s">
        <v>41</v>
      </c>
      <c r="E7" s="39">
        <v>2</v>
      </c>
      <c r="F7" s="39">
        <f>光明跃进!E9</f>
        <v>77630</v>
      </c>
      <c r="G7" s="39">
        <f>E7*F7/10000</f>
        <v>15.53</v>
      </c>
      <c r="H7" s="39"/>
      <c r="J7" s="35">
        <f>9215-J3</f>
        <v>7928</v>
      </c>
    </row>
    <row r="8" customHeight="1" spans="1:8">
      <c r="A8" s="45" t="s">
        <v>52</v>
      </c>
      <c r="B8" s="46"/>
      <c r="C8" s="42" t="s">
        <v>508</v>
      </c>
      <c r="D8" s="43" t="s">
        <v>41</v>
      </c>
      <c r="E8" s="39">
        <v>2</v>
      </c>
      <c r="F8" s="39" t="e">
        <f>光明跃进!#REF!</f>
        <v>#REF!</v>
      </c>
      <c r="G8" s="39" t="e">
        <f t="shared" ref="G8:G9" si="0">E8*F8/10000</f>
        <v>#REF!</v>
      </c>
      <c r="H8" s="39"/>
    </row>
    <row r="9" customHeight="1" spans="1:8">
      <c r="A9" s="45" t="s">
        <v>78</v>
      </c>
      <c r="B9" s="46"/>
      <c r="C9" s="42" t="s">
        <v>509</v>
      </c>
      <c r="D9" s="45" t="s">
        <v>95</v>
      </c>
      <c r="E9" s="39">
        <v>1</v>
      </c>
      <c r="F9" s="39" t="e">
        <f>光明跃进!#REF!</f>
        <v>#REF!</v>
      </c>
      <c r="G9" s="39" t="e">
        <f t="shared" si="0"/>
        <v>#REF!</v>
      </c>
      <c r="H9" s="39"/>
    </row>
    <row r="10" customHeight="1" spans="1:8">
      <c r="A10" s="47" t="s">
        <v>80</v>
      </c>
      <c r="B10" s="37"/>
      <c r="C10" s="42" t="s">
        <v>128</v>
      </c>
      <c r="D10" s="48"/>
      <c r="E10" s="39"/>
      <c r="F10" s="39"/>
      <c r="G10" s="39" t="e">
        <f>SUM(G11:G21)</f>
        <v>#REF!</v>
      </c>
      <c r="H10" s="39"/>
    </row>
    <row r="11" customHeight="1" spans="1:8">
      <c r="A11" s="45" t="s">
        <v>510</v>
      </c>
      <c r="B11" s="37"/>
      <c r="C11" s="42" t="s">
        <v>511</v>
      </c>
      <c r="D11" s="49" t="s">
        <v>51</v>
      </c>
      <c r="E11" s="39">
        <v>1734</v>
      </c>
      <c r="F11" s="39">
        <v>990.81</v>
      </c>
      <c r="G11" s="39">
        <f t="shared" ref="G11:G21" si="1">E11*F11/10000</f>
        <v>171.81</v>
      </c>
      <c r="H11" s="39"/>
    </row>
    <row r="12" customHeight="1" spans="1:8">
      <c r="A12" s="45" t="s">
        <v>512</v>
      </c>
      <c r="B12" s="37"/>
      <c r="C12" s="42" t="s">
        <v>513</v>
      </c>
      <c r="D12" s="49" t="s">
        <v>51</v>
      </c>
      <c r="E12" s="39">
        <v>5674</v>
      </c>
      <c r="F12" s="39">
        <v>504.62</v>
      </c>
      <c r="G12" s="39">
        <f t="shared" si="1"/>
        <v>286.32</v>
      </c>
      <c r="H12" s="39"/>
    </row>
    <row r="13" customHeight="1" spans="1:8">
      <c r="A13" s="45" t="s">
        <v>514</v>
      </c>
      <c r="B13" s="37"/>
      <c r="C13" s="42" t="s">
        <v>515</v>
      </c>
      <c r="D13" s="49" t="s">
        <v>51</v>
      </c>
      <c r="E13" s="39">
        <v>1761</v>
      </c>
      <c r="F13" s="39">
        <v>347.2</v>
      </c>
      <c r="G13" s="39">
        <f t="shared" si="1"/>
        <v>61.14</v>
      </c>
      <c r="H13" s="39"/>
    </row>
    <row r="14" customHeight="1" spans="1:8">
      <c r="A14" s="45" t="s">
        <v>516</v>
      </c>
      <c r="B14" s="37"/>
      <c r="C14" s="42" t="s">
        <v>425</v>
      </c>
      <c r="D14" s="45" t="s">
        <v>95</v>
      </c>
      <c r="E14" s="39">
        <v>1</v>
      </c>
      <c r="F14" s="39">
        <f>SUM(G11:G13)*0.05*10000</f>
        <v>259635</v>
      </c>
      <c r="G14" s="39">
        <f t="shared" si="1"/>
        <v>25.96</v>
      </c>
      <c r="H14" s="39"/>
    </row>
    <row r="15" customHeight="1" spans="1:8">
      <c r="A15" s="45" t="s">
        <v>517</v>
      </c>
      <c r="B15" s="37"/>
      <c r="C15" s="42" t="s">
        <v>518</v>
      </c>
      <c r="D15" s="49" t="s">
        <v>41</v>
      </c>
      <c r="E15" s="39">
        <v>149</v>
      </c>
      <c r="F15" s="39" t="e">
        <f>光明跃进!#REF!</f>
        <v>#REF!</v>
      </c>
      <c r="G15" s="39" t="e">
        <f t="shared" si="1"/>
        <v>#REF!</v>
      </c>
      <c r="H15" s="39"/>
    </row>
    <row r="16" customHeight="1" spans="1:8">
      <c r="A16" s="45" t="s">
        <v>519</v>
      </c>
      <c r="B16" s="37"/>
      <c r="C16" s="42" t="s">
        <v>520</v>
      </c>
      <c r="D16" s="49" t="s">
        <v>41</v>
      </c>
      <c r="E16" s="39">
        <v>107</v>
      </c>
      <c r="F16" s="39" t="e">
        <f>光明跃进!#REF!</f>
        <v>#REF!</v>
      </c>
      <c r="G16" s="39" t="e">
        <f t="shared" si="1"/>
        <v>#REF!</v>
      </c>
      <c r="H16" s="39"/>
    </row>
    <row r="17" customHeight="1" spans="1:8">
      <c r="A17" s="45" t="s">
        <v>521</v>
      </c>
      <c r="B17" s="37"/>
      <c r="C17" s="42" t="s">
        <v>522</v>
      </c>
      <c r="D17" s="49" t="s">
        <v>41</v>
      </c>
      <c r="E17" s="39">
        <v>2</v>
      </c>
      <c r="F17" s="39" t="e">
        <f>光明跃进!#REF!</f>
        <v>#REF!</v>
      </c>
      <c r="G17" s="39" t="e">
        <f t="shared" si="1"/>
        <v>#REF!</v>
      </c>
      <c r="H17" s="39"/>
    </row>
    <row r="18" customHeight="1" spans="1:8">
      <c r="A18" s="45" t="s">
        <v>523</v>
      </c>
      <c r="B18" s="37"/>
      <c r="C18" s="42" t="s">
        <v>524</v>
      </c>
      <c r="D18" s="49" t="s">
        <v>41</v>
      </c>
      <c r="E18" s="39">
        <v>10</v>
      </c>
      <c r="F18" s="39" t="e">
        <f>光明跃进!#REF!</f>
        <v>#REF!</v>
      </c>
      <c r="G18" s="39" t="e">
        <f t="shared" si="1"/>
        <v>#REF!</v>
      </c>
      <c r="H18" s="39"/>
    </row>
    <row r="19" customHeight="1" spans="1:8">
      <c r="A19" s="45" t="s">
        <v>525</v>
      </c>
      <c r="B19" s="37"/>
      <c r="C19" s="42" t="s">
        <v>526</v>
      </c>
      <c r="D19" s="49" t="s">
        <v>41</v>
      </c>
      <c r="E19" s="39">
        <v>6</v>
      </c>
      <c r="F19" s="39" t="e">
        <f>光明跃进!#REF!</f>
        <v>#REF!</v>
      </c>
      <c r="G19" s="39" t="e">
        <f t="shared" si="1"/>
        <v>#REF!</v>
      </c>
      <c r="H19" s="39"/>
    </row>
    <row r="20" customHeight="1" spans="1:8">
      <c r="A20" s="45" t="s">
        <v>527</v>
      </c>
      <c r="B20" s="37"/>
      <c r="C20" s="42" t="s">
        <v>528</v>
      </c>
      <c r="D20" s="49" t="s">
        <v>41</v>
      </c>
      <c r="E20" s="39">
        <v>16</v>
      </c>
      <c r="F20" s="39">
        <f>光明跃进!E21</f>
        <v>289.56</v>
      </c>
      <c r="G20" s="39">
        <f t="shared" si="1"/>
        <v>0.46</v>
      </c>
      <c r="H20" s="39"/>
    </row>
    <row r="21" customHeight="1" spans="1:8">
      <c r="A21" s="45" t="s">
        <v>529</v>
      </c>
      <c r="B21" s="37"/>
      <c r="C21" s="42" t="s">
        <v>530</v>
      </c>
      <c r="D21" s="49" t="s">
        <v>51</v>
      </c>
      <c r="E21" s="39">
        <v>8550</v>
      </c>
      <c r="F21" s="39" t="e">
        <f>光明跃进!#REF!</f>
        <v>#REF!</v>
      </c>
      <c r="G21" s="39" t="e">
        <f t="shared" si="1"/>
        <v>#REF!</v>
      </c>
      <c r="H21" s="39"/>
    </row>
    <row r="22" customHeight="1" spans="1:8">
      <c r="A22" s="47" t="s">
        <v>83</v>
      </c>
      <c r="B22" s="37"/>
      <c r="C22" s="42" t="s">
        <v>481</v>
      </c>
      <c r="D22" s="48"/>
      <c r="E22" s="39"/>
      <c r="F22" s="39"/>
      <c r="G22" s="39" t="e">
        <f>SUM(G23:G28)</f>
        <v>#REF!</v>
      </c>
      <c r="H22" s="39"/>
    </row>
    <row r="23" customHeight="1" spans="1:8">
      <c r="A23" s="45" t="s">
        <v>510</v>
      </c>
      <c r="B23" s="37"/>
      <c r="C23" s="42" t="s">
        <v>531</v>
      </c>
      <c r="D23" s="49" t="s">
        <v>51</v>
      </c>
      <c r="E23" s="39">
        <v>7338</v>
      </c>
      <c r="F23" s="39" t="e">
        <f>光明跃进!#REF!</f>
        <v>#REF!</v>
      </c>
      <c r="G23" s="39" t="e">
        <f>E23*F23/10000</f>
        <v>#REF!</v>
      </c>
      <c r="H23" s="39"/>
    </row>
    <row r="24" customHeight="1" spans="1:8">
      <c r="A24" s="45" t="s">
        <v>512</v>
      </c>
      <c r="B24" s="37"/>
      <c r="C24" s="42" t="s">
        <v>532</v>
      </c>
      <c r="D24" s="49" t="s">
        <v>51</v>
      </c>
      <c r="E24" s="39">
        <v>2030</v>
      </c>
      <c r="F24" s="39" t="e">
        <f>光明跃进!#REF!</f>
        <v>#REF!</v>
      </c>
      <c r="G24" s="39" t="e">
        <f t="shared" ref="G24:G32" si="2">E24*F24/10000</f>
        <v>#REF!</v>
      </c>
      <c r="H24" s="39"/>
    </row>
    <row r="25" customHeight="1" spans="1:8">
      <c r="A25" s="45" t="s">
        <v>514</v>
      </c>
      <c r="B25" s="37"/>
      <c r="C25" s="42" t="s">
        <v>533</v>
      </c>
      <c r="D25" s="49" t="s">
        <v>41</v>
      </c>
      <c r="E25" s="39">
        <v>2</v>
      </c>
      <c r="F25" s="39" t="e">
        <f>光明跃进!#REF!</f>
        <v>#REF!</v>
      </c>
      <c r="G25" s="39" t="e">
        <f t="shared" si="2"/>
        <v>#REF!</v>
      </c>
      <c r="H25" s="39"/>
    </row>
    <row r="26" customHeight="1" spans="1:8">
      <c r="A26" s="45" t="s">
        <v>516</v>
      </c>
      <c r="B26" s="37"/>
      <c r="C26" s="42" t="s">
        <v>534</v>
      </c>
      <c r="D26" s="48" t="s">
        <v>41</v>
      </c>
      <c r="E26" s="39">
        <v>6</v>
      </c>
      <c r="F26" s="39" t="e">
        <f>光明跃进!#REF!</f>
        <v>#REF!</v>
      </c>
      <c r="G26" s="39" t="e">
        <f t="shared" si="2"/>
        <v>#REF!</v>
      </c>
      <c r="H26" s="39"/>
    </row>
    <row r="27" customHeight="1" spans="1:8">
      <c r="A27" s="45" t="s">
        <v>517</v>
      </c>
      <c r="B27" s="37"/>
      <c r="C27" s="42" t="s">
        <v>535</v>
      </c>
      <c r="D27" s="48" t="s">
        <v>41</v>
      </c>
      <c r="E27" s="39">
        <v>294</v>
      </c>
      <c r="F27" s="39" t="e">
        <f>光明跃进!#REF!</f>
        <v>#REF!</v>
      </c>
      <c r="G27" s="39" t="e">
        <f t="shared" si="2"/>
        <v>#REF!</v>
      </c>
      <c r="H27" s="39"/>
    </row>
    <row r="28" customHeight="1" spans="1:8">
      <c r="A28" s="45" t="s">
        <v>519</v>
      </c>
      <c r="B28" s="37"/>
      <c r="C28" s="42" t="s">
        <v>536</v>
      </c>
      <c r="D28" s="48" t="s">
        <v>41</v>
      </c>
      <c r="E28" s="39">
        <v>15</v>
      </c>
      <c r="F28" s="39" t="e">
        <f>光明跃进!#REF!</f>
        <v>#REF!</v>
      </c>
      <c r="G28" s="39" t="e">
        <f t="shared" si="2"/>
        <v>#REF!</v>
      </c>
      <c r="H28" s="39"/>
    </row>
    <row r="29" s="34" customFormat="1" customHeight="1" spans="1:8">
      <c r="A29" s="38" t="s">
        <v>71</v>
      </c>
      <c r="B29" s="38"/>
      <c r="C29" s="41" t="s">
        <v>537</v>
      </c>
      <c r="D29" s="38"/>
      <c r="E29" s="40"/>
      <c r="F29" s="40"/>
      <c r="G29" s="40" t="e">
        <f>SUM(G30:G32)</f>
        <v>#REF!</v>
      </c>
      <c r="H29" s="40"/>
    </row>
    <row r="30" customHeight="1" spans="1:8">
      <c r="A30" s="47" t="s">
        <v>39</v>
      </c>
      <c r="B30" s="37"/>
      <c r="C30" s="42" t="s">
        <v>538</v>
      </c>
      <c r="D30" s="48" t="s">
        <v>539</v>
      </c>
      <c r="E30" s="39">
        <f>(2801*3+8474*2.5)*0.3</f>
        <v>8876.4</v>
      </c>
      <c r="F30" s="39">
        <f>121.79/2</f>
        <v>60.9</v>
      </c>
      <c r="G30" s="39">
        <f t="shared" si="2"/>
        <v>54.06</v>
      </c>
      <c r="H30" s="39"/>
    </row>
    <row r="31" customHeight="1" spans="1:8">
      <c r="A31" s="47" t="s">
        <v>52</v>
      </c>
      <c r="B31" s="37"/>
      <c r="C31" s="42" t="s">
        <v>540</v>
      </c>
      <c r="D31" s="37" t="s">
        <v>41</v>
      </c>
      <c r="E31" s="39">
        <v>1</v>
      </c>
      <c r="F31" s="39">
        <f>1000*18*5.6</f>
        <v>100800</v>
      </c>
      <c r="G31" s="39">
        <f t="shared" si="2"/>
        <v>10.08</v>
      </c>
      <c r="H31" s="39"/>
    </row>
    <row r="32" customHeight="1" spans="1:8">
      <c r="A32" s="47" t="s">
        <v>78</v>
      </c>
      <c r="B32" s="37"/>
      <c r="C32" s="42" t="s">
        <v>541</v>
      </c>
      <c r="D32" s="37" t="s">
        <v>41</v>
      </c>
      <c r="E32" s="39">
        <v>2</v>
      </c>
      <c r="F32" s="39" t="e">
        <f>(光明跃进!#REF!+光明跃进!#REF!)/2</f>
        <v>#REF!</v>
      </c>
      <c r="G32" s="39" t="e">
        <f t="shared" si="2"/>
        <v>#REF!</v>
      </c>
      <c r="H32" s="39"/>
    </row>
    <row r="33" s="34" customFormat="1" customHeight="1" spans="1:8">
      <c r="A33" s="38" t="s">
        <v>92</v>
      </c>
      <c r="B33" s="38"/>
      <c r="C33" s="41" t="s">
        <v>542</v>
      </c>
      <c r="D33" s="38"/>
      <c r="E33" s="40"/>
      <c r="F33" s="40"/>
      <c r="G33" s="40" t="e">
        <f>SUM(G34:G36)</f>
        <v>#REF!</v>
      </c>
      <c r="H33" s="40"/>
    </row>
    <row r="34" customHeight="1" spans="1:8">
      <c r="A34" s="47" t="s">
        <v>39</v>
      </c>
      <c r="B34" s="37"/>
      <c r="C34" s="42" t="s">
        <v>543</v>
      </c>
      <c r="D34" s="37" t="s">
        <v>36</v>
      </c>
      <c r="E34" s="39">
        <v>22</v>
      </c>
      <c r="F34" s="39">
        <v>18000</v>
      </c>
      <c r="G34" s="39">
        <f>E34*F34/10000</f>
        <v>39.6</v>
      </c>
      <c r="H34" s="39"/>
    </row>
    <row r="35" customHeight="1" spans="1:8">
      <c r="A35" s="47" t="s">
        <v>52</v>
      </c>
      <c r="B35" s="37"/>
      <c r="C35" s="42" t="s">
        <v>544</v>
      </c>
      <c r="D35" s="37" t="s">
        <v>51</v>
      </c>
      <c r="E35" s="39">
        <v>300</v>
      </c>
      <c r="F35" s="39" t="e">
        <f>光明跃进!#REF!</f>
        <v>#REF!</v>
      </c>
      <c r="G35" s="39" t="e">
        <f>E35*F35/10000</f>
        <v>#REF!</v>
      </c>
      <c r="H35" s="39"/>
    </row>
    <row r="36" customHeight="1" spans="1:8">
      <c r="A36" s="47" t="s">
        <v>78</v>
      </c>
      <c r="B36" s="42"/>
      <c r="C36" s="42" t="s">
        <v>545</v>
      </c>
      <c r="D36" s="37"/>
      <c r="E36" s="39"/>
      <c r="F36" s="39"/>
      <c r="G36" s="39" t="e">
        <f>SUM(G37:G39)</f>
        <v>#REF!</v>
      </c>
      <c r="H36" s="39"/>
    </row>
    <row r="37" customHeight="1" spans="1:8">
      <c r="A37" s="45" t="s">
        <v>510</v>
      </c>
      <c r="B37" s="37"/>
      <c r="C37" s="42" t="s">
        <v>546</v>
      </c>
      <c r="D37" s="48" t="s">
        <v>539</v>
      </c>
      <c r="E37" s="39" t="e">
        <f>光明跃进!#REF!</f>
        <v>#REF!</v>
      </c>
      <c r="F37" s="39" t="e">
        <f>光明跃进!#REF!</f>
        <v>#REF!</v>
      </c>
      <c r="G37" s="39" t="e">
        <f>E37*F37/10000</f>
        <v>#REF!</v>
      </c>
      <c r="H37" s="39"/>
    </row>
    <row r="38" customHeight="1" spans="1:8">
      <c r="A38" s="45" t="s">
        <v>512</v>
      </c>
      <c r="B38" s="37"/>
      <c r="C38" s="42" t="s">
        <v>547</v>
      </c>
      <c r="D38" s="48" t="s">
        <v>95</v>
      </c>
      <c r="E38" s="39" t="e">
        <f>光明跃进!#REF!</f>
        <v>#REF!</v>
      </c>
      <c r="F38" s="39" t="e">
        <f>光明跃进!#REF!</f>
        <v>#REF!</v>
      </c>
      <c r="G38" s="39" t="e">
        <f>E38*F38/10000</f>
        <v>#REF!</v>
      </c>
      <c r="H38" s="39"/>
    </row>
    <row r="39" customHeight="1" spans="1:8">
      <c r="A39" s="45" t="s">
        <v>514</v>
      </c>
      <c r="B39" s="37"/>
      <c r="C39" s="42" t="s">
        <v>548</v>
      </c>
      <c r="D39" s="48" t="s">
        <v>95</v>
      </c>
      <c r="E39" s="39" t="e">
        <f>光明跃进!#REF!</f>
        <v>#REF!</v>
      </c>
      <c r="F39" s="39" t="e">
        <f>光明跃进!#REF!</f>
        <v>#REF!</v>
      </c>
      <c r="G39" s="39" t="e">
        <f>E39*F39/10000</f>
        <v>#REF!</v>
      </c>
      <c r="H39" s="39"/>
    </row>
    <row r="40" s="34" customFormat="1" customHeight="1" spans="1:15">
      <c r="A40" s="38" t="s">
        <v>96</v>
      </c>
      <c r="B40" s="38"/>
      <c r="C40" s="41" t="s">
        <v>549</v>
      </c>
      <c r="D40" s="38"/>
      <c r="E40" s="40"/>
      <c r="F40" s="40"/>
      <c r="G40" s="40" t="e">
        <f>SUM(G41:G42)</f>
        <v>#REF!</v>
      </c>
      <c r="H40" s="40"/>
      <c r="J40" s="58"/>
      <c r="K40" s="58"/>
      <c r="L40" s="58"/>
      <c r="M40" s="58"/>
      <c r="N40" s="58"/>
      <c r="O40" s="58"/>
    </row>
    <row r="41" customHeight="1" spans="1:15">
      <c r="A41" s="47" t="s">
        <v>39</v>
      </c>
      <c r="B41" s="37"/>
      <c r="C41" s="42" t="s">
        <v>550</v>
      </c>
      <c r="D41" s="37" t="s">
        <v>51</v>
      </c>
      <c r="E41" s="39" t="e">
        <f>光明跃进!#REF!</f>
        <v>#REF!</v>
      </c>
      <c r="F41" s="39">
        <v>65.15</v>
      </c>
      <c r="G41" s="39" t="e">
        <f>E41*F41/10000</f>
        <v>#REF!</v>
      </c>
      <c r="H41" s="39"/>
      <c r="J41" s="59"/>
      <c r="K41" s="59"/>
      <c r="L41" s="59"/>
      <c r="M41" s="59"/>
      <c r="N41" s="59"/>
      <c r="O41" s="59"/>
    </row>
    <row r="42" customHeight="1" spans="1:15">
      <c r="A42" s="47" t="s">
        <v>52</v>
      </c>
      <c r="B42" s="37"/>
      <c r="C42" s="42" t="s">
        <v>551</v>
      </c>
      <c r="D42" s="37" t="s">
        <v>176</v>
      </c>
      <c r="E42" s="39">
        <v>2</v>
      </c>
      <c r="F42" s="39" t="e">
        <f>光明跃进!#REF!</f>
        <v>#REF!</v>
      </c>
      <c r="G42" s="39" t="e">
        <f>E42*F42/10000</f>
        <v>#REF!</v>
      </c>
      <c r="H42" s="39"/>
      <c r="J42" s="59"/>
      <c r="K42" s="59"/>
      <c r="L42" s="59"/>
      <c r="M42" s="59"/>
      <c r="N42" s="59"/>
      <c r="O42" s="59"/>
    </row>
    <row r="43" s="34" customFormat="1" hidden="1" customHeight="1" spans="1:15">
      <c r="A43" s="38" t="s">
        <v>552</v>
      </c>
      <c r="B43" s="38"/>
      <c r="C43" s="41" t="s">
        <v>553</v>
      </c>
      <c r="D43" s="38"/>
      <c r="E43" s="40"/>
      <c r="F43" s="40"/>
      <c r="G43" s="40">
        <f>SUM(G44:G45)</f>
        <v>0</v>
      </c>
      <c r="H43" s="40"/>
      <c r="J43" s="58"/>
      <c r="K43" s="58"/>
      <c r="L43" s="58"/>
      <c r="M43" s="58"/>
      <c r="N43" s="58"/>
      <c r="O43" s="58"/>
    </row>
    <row r="44" hidden="1" customHeight="1" spans="1:15">
      <c r="A44" s="47" t="s">
        <v>39</v>
      </c>
      <c r="B44" s="37"/>
      <c r="C44" s="42" t="s">
        <v>554</v>
      </c>
      <c r="D44" s="48" t="s">
        <v>539</v>
      </c>
      <c r="E44" s="39"/>
      <c r="F44" s="39"/>
      <c r="G44" s="39">
        <f>E44*F44/10000</f>
        <v>0</v>
      </c>
      <c r="H44" s="39"/>
      <c r="J44" s="59"/>
      <c r="K44" s="59"/>
      <c r="L44" s="59"/>
      <c r="M44" s="59"/>
      <c r="N44" s="59"/>
      <c r="O44" s="59"/>
    </row>
    <row r="45" hidden="1" customHeight="1" spans="1:15">
      <c r="A45" s="47" t="s">
        <v>52</v>
      </c>
      <c r="B45" s="37"/>
      <c r="C45" s="42" t="s">
        <v>555</v>
      </c>
      <c r="D45" s="48" t="s">
        <v>539</v>
      </c>
      <c r="E45" s="39"/>
      <c r="F45" s="39"/>
      <c r="G45" s="39">
        <f>E45*F45/10000</f>
        <v>0</v>
      </c>
      <c r="H45" s="39"/>
      <c r="J45" s="59"/>
      <c r="K45" s="59"/>
      <c r="L45" s="59"/>
      <c r="M45" s="59"/>
      <c r="N45" s="59"/>
      <c r="O45" s="59"/>
    </row>
    <row r="46" hidden="1" customHeight="1" spans="1:15">
      <c r="A46" s="47" t="s">
        <v>78</v>
      </c>
      <c r="B46" s="37"/>
      <c r="C46" s="42" t="s">
        <v>556</v>
      </c>
      <c r="D46" s="43" t="s">
        <v>95</v>
      </c>
      <c r="E46" s="39"/>
      <c r="F46" s="39"/>
      <c r="G46" s="39">
        <f>E46*F46/10000</f>
        <v>0</v>
      </c>
      <c r="H46" s="39"/>
      <c r="J46" s="59"/>
      <c r="K46" s="59"/>
      <c r="L46" s="59"/>
      <c r="M46" s="59"/>
      <c r="N46" s="59"/>
      <c r="O46" s="59"/>
    </row>
    <row r="47" customHeight="1" spans="1:9">
      <c r="A47" s="38" t="s">
        <v>100</v>
      </c>
      <c r="B47" s="38" t="s">
        <v>557</v>
      </c>
      <c r="C47" s="41"/>
      <c r="D47" s="38"/>
      <c r="E47" s="40"/>
      <c r="F47" s="40"/>
      <c r="G47" s="40">
        <f>SUM(G48:G48)</f>
        <v>0</v>
      </c>
      <c r="H47" s="40"/>
      <c r="I47" s="60" t="e">
        <f>G47+G3</f>
        <v>#REF!</v>
      </c>
    </row>
    <row r="48" customHeight="1" spans="1:10">
      <c r="A48" s="37"/>
      <c r="B48" s="37"/>
      <c r="C48" s="42"/>
      <c r="D48" s="37"/>
      <c r="E48" s="39"/>
      <c r="F48" s="39"/>
      <c r="G48" s="39"/>
      <c r="H48" s="39"/>
      <c r="J48" s="35" t="s">
        <v>558</v>
      </c>
    </row>
    <row r="49" customHeight="1" spans="1:11">
      <c r="A49" s="38" t="s">
        <v>119</v>
      </c>
      <c r="B49" s="38" t="s">
        <v>559</v>
      </c>
      <c r="C49" s="41"/>
      <c r="D49" s="38"/>
      <c r="E49" s="40"/>
      <c r="F49" s="40"/>
      <c r="G49" s="40" t="e">
        <f>G3*0.064</f>
        <v>#REF!</v>
      </c>
      <c r="H49" s="40"/>
      <c r="I49" s="35" t="e">
        <f>2000*0.08+0.03*(G3+G47-2000)</f>
        <v>#REF!</v>
      </c>
      <c r="J49" s="61" t="e">
        <f>G49-I49</f>
        <v>#REF!</v>
      </c>
      <c r="K49" s="35" t="e">
        <f>J49/G49</f>
        <v>#REF!</v>
      </c>
    </row>
    <row r="50" hidden="1" customHeight="1" spans="1:9">
      <c r="A50" s="49" t="s">
        <v>560</v>
      </c>
      <c r="B50" s="50"/>
      <c r="C50" s="50" t="s">
        <v>561</v>
      </c>
      <c r="D50" s="38"/>
      <c r="E50" s="40"/>
      <c r="F50" s="40"/>
      <c r="G50" s="39"/>
      <c r="H50" s="39"/>
      <c r="I50" s="53" t="e">
        <f>#REF!</f>
        <v>#REF!</v>
      </c>
    </row>
    <row r="51" hidden="1" customHeight="1" spans="1:8">
      <c r="A51" s="49" t="s">
        <v>562</v>
      </c>
      <c r="B51" s="51"/>
      <c r="C51" s="51" t="s">
        <v>109</v>
      </c>
      <c r="D51" s="38"/>
      <c r="E51" s="40"/>
      <c r="F51" s="40"/>
      <c r="G51" s="39"/>
      <c r="H51" s="39"/>
    </row>
    <row r="52" hidden="1" customHeight="1" spans="1:9">
      <c r="A52" s="49" t="s">
        <v>39</v>
      </c>
      <c r="B52" s="51"/>
      <c r="C52" s="51" t="s">
        <v>109</v>
      </c>
      <c r="D52" s="38"/>
      <c r="E52" s="40"/>
      <c r="F52" s="40"/>
      <c r="G52" s="39"/>
      <c r="H52" s="39"/>
      <c r="I52" s="35" t="e">
        <f>造价服务及招标代理!P12+造价服务及招标代理!P14+造价服务及招标代理!P16+造价服务及招标代理!P18</f>
        <v>#REF!</v>
      </c>
    </row>
    <row r="53" hidden="1" customHeight="1" spans="1:8">
      <c r="A53" s="49" t="s">
        <v>52</v>
      </c>
      <c r="B53" s="51"/>
      <c r="C53" s="51" t="s">
        <v>563</v>
      </c>
      <c r="D53" s="38"/>
      <c r="E53" s="40"/>
      <c r="F53" s="40"/>
      <c r="G53" s="39"/>
      <c r="H53" s="39"/>
    </row>
    <row r="54" hidden="1" customHeight="1" spans="1:8">
      <c r="A54" s="49" t="s">
        <v>564</v>
      </c>
      <c r="B54" s="51"/>
      <c r="C54" s="51" t="s">
        <v>565</v>
      </c>
      <c r="D54" s="38"/>
      <c r="E54" s="40"/>
      <c r="F54" s="40"/>
      <c r="G54" s="39"/>
      <c r="H54" s="39"/>
    </row>
    <row r="55" hidden="1" customHeight="1" spans="1:13">
      <c r="A55" s="49" t="s">
        <v>39</v>
      </c>
      <c r="B55" s="51"/>
      <c r="C55" s="51" t="s">
        <v>566</v>
      </c>
      <c r="D55" s="38"/>
      <c r="E55" s="40"/>
      <c r="F55" s="40"/>
      <c r="G55" s="39"/>
      <c r="H55" s="39"/>
      <c r="M55" s="60"/>
    </row>
    <row r="56" hidden="1" customHeight="1" spans="1:9">
      <c r="A56" s="49" t="s">
        <v>52</v>
      </c>
      <c r="B56" s="51"/>
      <c r="C56" s="51" t="s">
        <v>107</v>
      </c>
      <c r="D56" s="38"/>
      <c r="E56" s="40"/>
      <c r="F56" s="40"/>
      <c r="G56" s="39"/>
      <c r="H56" s="39"/>
      <c r="I56" s="53" t="e">
        <f>#REF!</f>
        <v>#REF!</v>
      </c>
    </row>
    <row r="57" hidden="1" customHeight="1" spans="1:8">
      <c r="A57" s="49" t="s">
        <v>567</v>
      </c>
      <c r="B57" s="51"/>
      <c r="C57" s="51" t="s">
        <v>112</v>
      </c>
      <c r="D57" s="38"/>
      <c r="E57" s="40"/>
      <c r="F57" s="40"/>
      <c r="G57" s="39"/>
      <c r="H57" s="39"/>
    </row>
    <row r="58" hidden="1" customHeight="1" spans="1:9">
      <c r="A58" s="49">
        <v>1</v>
      </c>
      <c r="B58" s="51"/>
      <c r="C58" s="51" t="s">
        <v>113</v>
      </c>
      <c r="D58" s="38"/>
      <c r="E58" s="40"/>
      <c r="F58" s="40"/>
      <c r="G58" s="39"/>
      <c r="H58" s="39"/>
      <c r="I58" s="53" t="e">
        <f>#REF!</f>
        <v>#REF!</v>
      </c>
    </row>
    <row r="59" hidden="1" customHeight="1" spans="1:8">
      <c r="A59" s="49">
        <v>2</v>
      </c>
      <c r="B59" s="51"/>
      <c r="C59" s="51" t="s">
        <v>568</v>
      </c>
      <c r="D59" s="38"/>
      <c r="E59" s="40"/>
      <c r="F59" s="40"/>
      <c r="G59" s="39"/>
      <c r="H59" s="39"/>
    </row>
    <row r="60" hidden="1" customHeight="1" spans="1:8">
      <c r="A60" s="49" t="s">
        <v>43</v>
      </c>
      <c r="B60" s="51"/>
      <c r="C60" s="51" t="s">
        <v>569</v>
      </c>
      <c r="D60" s="38"/>
      <c r="E60" s="40"/>
      <c r="F60" s="40"/>
      <c r="G60" s="39"/>
      <c r="H60" s="39"/>
    </row>
    <row r="61" hidden="1" customHeight="1" spans="1:8">
      <c r="A61" s="49" t="s">
        <v>46</v>
      </c>
      <c r="B61" s="51"/>
      <c r="C61" s="51" t="s">
        <v>570</v>
      </c>
      <c r="D61" s="38"/>
      <c r="E61" s="40"/>
      <c r="F61" s="40"/>
      <c r="G61" s="39"/>
      <c r="H61" s="39"/>
    </row>
    <row r="62" hidden="1" customHeight="1" spans="1:8">
      <c r="A62" s="49" t="s">
        <v>571</v>
      </c>
      <c r="B62" s="51"/>
      <c r="C62" s="51" t="s">
        <v>117</v>
      </c>
      <c r="D62" s="38"/>
      <c r="E62" s="40"/>
      <c r="F62" s="40"/>
      <c r="G62" s="39"/>
      <c r="H62" s="39"/>
    </row>
    <row r="63" customHeight="1" spans="1:8">
      <c r="A63" s="49"/>
      <c r="B63" s="51"/>
      <c r="C63" s="51"/>
      <c r="D63" s="38"/>
      <c r="E63" s="40"/>
      <c r="F63" s="40"/>
      <c r="G63" s="39"/>
      <c r="H63" s="39"/>
    </row>
    <row r="64" s="34" customFormat="1" customHeight="1" spans="1:9">
      <c r="A64" s="38" t="s">
        <v>572</v>
      </c>
      <c r="B64" s="38" t="s">
        <v>22</v>
      </c>
      <c r="C64" s="41"/>
      <c r="D64" s="38" t="s">
        <v>36</v>
      </c>
      <c r="E64" s="40">
        <v>1287</v>
      </c>
      <c r="F64" s="40" t="e">
        <f>G64/E64</f>
        <v>#REF!</v>
      </c>
      <c r="G64" s="40" t="e">
        <f>G49+G3+G47</f>
        <v>#REF!</v>
      </c>
      <c r="H64" s="40"/>
      <c r="I64" s="34" t="e">
        <f>G64/G66</f>
        <v>#REF!</v>
      </c>
    </row>
    <row r="66" customHeight="1" spans="7:9">
      <c r="G66" s="35">
        <v>9215</v>
      </c>
      <c r="I66" s="53" t="e">
        <f>G64*0.9</f>
        <v>#REF!</v>
      </c>
    </row>
    <row r="67" customHeight="1" spans="7:9">
      <c r="G67" s="35" t="e">
        <f>G64/G66</f>
        <v>#REF!</v>
      </c>
      <c r="I67" s="53"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1" outlineLevelCol="1"/>
  <cols>
    <col min="1" max="1" width="29.25" style="30" customWidth="1"/>
    <col min="2" max="2" width="30" style="30" customWidth="1"/>
    <col min="3" max="256" width="9" style="30"/>
    <col min="257" max="257" width="29.25" style="30" customWidth="1"/>
    <col min="258" max="258" width="30" style="30" customWidth="1"/>
    <col min="259" max="512" width="9" style="30"/>
    <col min="513" max="513" width="29.25" style="30" customWidth="1"/>
    <col min="514" max="514" width="30" style="30" customWidth="1"/>
    <col min="515" max="768" width="9" style="30"/>
    <col min="769" max="769" width="29.25" style="30" customWidth="1"/>
    <col min="770" max="770" width="30" style="30" customWidth="1"/>
    <col min="771" max="1024" width="9" style="30"/>
    <col min="1025" max="1025" width="29.25" style="30" customWidth="1"/>
    <col min="1026" max="1026" width="30" style="30" customWidth="1"/>
    <col min="1027" max="1280" width="9" style="30"/>
    <col min="1281" max="1281" width="29.25" style="30" customWidth="1"/>
    <col min="1282" max="1282" width="30" style="30" customWidth="1"/>
    <col min="1283" max="1536" width="9" style="30"/>
    <col min="1537" max="1537" width="29.25" style="30" customWidth="1"/>
    <col min="1538" max="1538" width="30" style="30" customWidth="1"/>
    <col min="1539" max="1792" width="9" style="30"/>
    <col min="1793" max="1793" width="29.25" style="30" customWidth="1"/>
    <col min="1794" max="1794" width="30" style="30" customWidth="1"/>
    <col min="1795" max="2048" width="9" style="30"/>
    <col min="2049" max="2049" width="29.25" style="30" customWidth="1"/>
    <col min="2050" max="2050" width="30" style="30" customWidth="1"/>
    <col min="2051" max="2304" width="9" style="30"/>
    <col min="2305" max="2305" width="29.25" style="30" customWidth="1"/>
    <col min="2306" max="2306" width="30" style="30" customWidth="1"/>
    <col min="2307" max="2560" width="9" style="30"/>
    <col min="2561" max="2561" width="29.25" style="30" customWidth="1"/>
    <col min="2562" max="2562" width="30" style="30" customWidth="1"/>
    <col min="2563" max="2816" width="9" style="30"/>
    <col min="2817" max="2817" width="29.25" style="30" customWidth="1"/>
    <col min="2818" max="2818" width="30" style="30" customWidth="1"/>
    <col min="2819" max="3072" width="9" style="30"/>
    <col min="3073" max="3073" width="29.25" style="30" customWidth="1"/>
    <col min="3074" max="3074" width="30" style="30" customWidth="1"/>
    <col min="3075" max="3328" width="9" style="30"/>
    <col min="3329" max="3329" width="29.25" style="30" customWidth="1"/>
    <col min="3330" max="3330" width="30" style="30" customWidth="1"/>
    <col min="3331" max="3584" width="9" style="30"/>
    <col min="3585" max="3585" width="29.25" style="30" customWidth="1"/>
    <col min="3586" max="3586" width="30" style="30" customWidth="1"/>
    <col min="3587" max="3840" width="9" style="30"/>
    <col min="3841" max="3841" width="29.25" style="30" customWidth="1"/>
    <col min="3842" max="3842" width="30" style="30" customWidth="1"/>
    <col min="3843" max="4096" width="9" style="30"/>
    <col min="4097" max="4097" width="29.25" style="30" customWidth="1"/>
    <col min="4098" max="4098" width="30" style="30" customWidth="1"/>
    <col min="4099" max="4352" width="9" style="30"/>
    <col min="4353" max="4353" width="29.25" style="30" customWidth="1"/>
    <col min="4354" max="4354" width="30" style="30" customWidth="1"/>
    <col min="4355" max="4608" width="9" style="30"/>
    <col min="4609" max="4609" width="29.25" style="30" customWidth="1"/>
    <col min="4610" max="4610" width="30" style="30" customWidth="1"/>
    <col min="4611" max="4864" width="9" style="30"/>
    <col min="4865" max="4865" width="29.25" style="30" customWidth="1"/>
    <col min="4866" max="4866" width="30" style="30" customWidth="1"/>
    <col min="4867" max="5120" width="9" style="30"/>
    <col min="5121" max="5121" width="29.25" style="30" customWidth="1"/>
    <col min="5122" max="5122" width="30" style="30" customWidth="1"/>
    <col min="5123" max="5376" width="9" style="30"/>
    <col min="5377" max="5377" width="29.25" style="30" customWidth="1"/>
    <col min="5378" max="5378" width="30" style="30" customWidth="1"/>
    <col min="5379" max="5632" width="9" style="30"/>
    <col min="5633" max="5633" width="29.25" style="30" customWidth="1"/>
    <col min="5634" max="5634" width="30" style="30" customWidth="1"/>
    <col min="5635" max="5888" width="9" style="30"/>
    <col min="5889" max="5889" width="29.25" style="30" customWidth="1"/>
    <col min="5890" max="5890" width="30" style="30" customWidth="1"/>
    <col min="5891" max="6144" width="9" style="30"/>
    <col min="6145" max="6145" width="29.25" style="30" customWidth="1"/>
    <col min="6146" max="6146" width="30" style="30" customWidth="1"/>
    <col min="6147" max="6400" width="9" style="30"/>
    <col min="6401" max="6401" width="29.25" style="30" customWidth="1"/>
    <col min="6402" max="6402" width="30" style="30" customWidth="1"/>
    <col min="6403" max="6656" width="9" style="30"/>
    <col min="6657" max="6657" width="29.25" style="30" customWidth="1"/>
    <col min="6658" max="6658" width="30" style="30" customWidth="1"/>
    <col min="6659" max="6912" width="9" style="30"/>
    <col min="6913" max="6913" width="29.25" style="30" customWidth="1"/>
    <col min="6914" max="6914" width="30" style="30" customWidth="1"/>
    <col min="6915" max="7168" width="9" style="30"/>
    <col min="7169" max="7169" width="29.25" style="30" customWidth="1"/>
    <col min="7170" max="7170" width="30" style="30" customWidth="1"/>
    <col min="7171" max="7424" width="9" style="30"/>
    <col min="7425" max="7425" width="29.25" style="30" customWidth="1"/>
    <col min="7426" max="7426" width="30" style="30" customWidth="1"/>
    <col min="7427" max="7680" width="9" style="30"/>
    <col min="7681" max="7681" width="29.25" style="30" customWidth="1"/>
    <col min="7682" max="7682" width="30" style="30" customWidth="1"/>
    <col min="7683" max="7936" width="9" style="30"/>
    <col min="7937" max="7937" width="29.25" style="30" customWidth="1"/>
    <col min="7938" max="7938" width="30" style="30" customWidth="1"/>
    <col min="7939" max="8192" width="9" style="30"/>
    <col min="8193" max="8193" width="29.25" style="30" customWidth="1"/>
    <col min="8194" max="8194" width="30" style="30" customWidth="1"/>
    <col min="8195" max="8448" width="9" style="30"/>
    <col min="8449" max="8449" width="29.25" style="30" customWidth="1"/>
    <col min="8450" max="8450" width="30" style="30" customWidth="1"/>
    <col min="8451" max="8704" width="9" style="30"/>
    <col min="8705" max="8705" width="29.25" style="30" customWidth="1"/>
    <col min="8706" max="8706" width="30" style="30" customWidth="1"/>
    <col min="8707" max="8960" width="9" style="30"/>
    <col min="8961" max="8961" width="29.25" style="30" customWidth="1"/>
    <col min="8962" max="8962" width="30" style="30" customWidth="1"/>
    <col min="8963" max="9216" width="9" style="30"/>
    <col min="9217" max="9217" width="29.25" style="30" customWidth="1"/>
    <col min="9218" max="9218" width="30" style="30" customWidth="1"/>
    <col min="9219" max="9472" width="9" style="30"/>
    <col min="9473" max="9473" width="29.25" style="30" customWidth="1"/>
    <col min="9474" max="9474" width="30" style="30" customWidth="1"/>
    <col min="9475" max="9728" width="9" style="30"/>
    <col min="9729" max="9729" width="29.25" style="30" customWidth="1"/>
    <col min="9730" max="9730" width="30" style="30" customWidth="1"/>
    <col min="9731" max="9984" width="9" style="30"/>
    <col min="9985" max="9985" width="29.25" style="30" customWidth="1"/>
    <col min="9986" max="9986" width="30" style="30" customWidth="1"/>
    <col min="9987" max="10240" width="9" style="30"/>
    <col min="10241" max="10241" width="29.25" style="30" customWidth="1"/>
    <col min="10242" max="10242" width="30" style="30" customWidth="1"/>
    <col min="10243" max="10496" width="9" style="30"/>
    <col min="10497" max="10497" width="29.25" style="30" customWidth="1"/>
    <col min="10498" max="10498" width="30" style="30" customWidth="1"/>
    <col min="10499" max="10752" width="9" style="30"/>
    <col min="10753" max="10753" width="29.25" style="30" customWidth="1"/>
    <col min="10754" max="10754" width="30" style="30" customWidth="1"/>
    <col min="10755" max="11008" width="9" style="30"/>
    <col min="11009" max="11009" width="29.25" style="30" customWidth="1"/>
    <col min="11010" max="11010" width="30" style="30" customWidth="1"/>
    <col min="11011" max="11264" width="9" style="30"/>
    <col min="11265" max="11265" width="29.25" style="30" customWidth="1"/>
    <col min="11266" max="11266" width="30" style="30" customWidth="1"/>
    <col min="11267" max="11520" width="9" style="30"/>
    <col min="11521" max="11521" width="29.25" style="30" customWidth="1"/>
    <col min="11522" max="11522" width="30" style="30" customWidth="1"/>
    <col min="11523" max="11776" width="9" style="30"/>
    <col min="11777" max="11777" width="29.25" style="30" customWidth="1"/>
    <col min="11778" max="11778" width="30" style="30" customWidth="1"/>
    <col min="11779" max="12032" width="9" style="30"/>
    <col min="12033" max="12033" width="29.25" style="30" customWidth="1"/>
    <col min="12034" max="12034" width="30" style="30" customWidth="1"/>
    <col min="12035" max="12288" width="9" style="30"/>
    <col min="12289" max="12289" width="29.25" style="30" customWidth="1"/>
    <col min="12290" max="12290" width="30" style="30" customWidth="1"/>
    <col min="12291" max="12544" width="9" style="30"/>
    <col min="12545" max="12545" width="29.25" style="30" customWidth="1"/>
    <col min="12546" max="12546" width="30" style="30" customWidth="1"/>
    <col min="12547" max="12800" width="9" style="30"/>
    <col min="12801" max="12801" width="29.25" style="30" customWidth="1"/>
    <col min="12802" max="12802" width="30" style="30" customWidth="1"/>
    <col min="12803" max="13056" width="9" style="30"/>
    <col min="13057" max="13057" width="29.25" style="30" customWidth="1"/>
    <col min="13058" max="13058" width="30" style="30" customWidth="1"/>
    <col min="13059" max="13312" width="9" style="30"/>
    <col min="13313" max="13313" width="29.25" style="30" customWidth="1"/>
    <col min="13314" max="13314" width="30" style="30" customWidth="1"/>
    <col min="13315" max="13568" width="9" style="30"/>
    <col min="13569" max="13569" width="29.25" style="30" customWidth="1"/>
    <col min="13570" max="13570" width="30" style="30" customWidth="1"/>
    <col min="13571" max="13824" width="9" style="30"/>
    <col min="13825" max="13825" width="29.25" style="30" customWidth="1"/>
    <col min="13826" max="13826" width="30" style="30" customWidth="1"/>
    <col min="13827" max="14080" width="9" style="30"/>
    <col min="14081" max="14081" width="29.25" style="30" customWidth="1"/>
    <col min="14082" max="14082" width="30" style="30" customWidth="1"/>
    <col min="14083" max="14336" width="9" style="30"/>
    <col min="14337" max="14337" width="29.25" style="30" customWidth="1"/>
    <col min="14338" max="14338" width="30" style="30" customWidth="1"/>
    <col min="14339" max="14592" width="9" style="30"/>
    <col min="14593" max="14593" width="29.25" style="30" customWidth="1"/>
    <col min="14594" max="14594" width="30" style="30" customWidth="1"/>
    <col min="14595" max="14848" width="9" style="30"/>
    <col min="14849" max="14849" width="29.25" style="30" customWidth="1"/>
    <col min="14850" max="14850" width="30" style="30" customWidth="1"/>
    <col min="14851" max="15104" width="9" style="30"/>
    <col min="15105" max="15105" width="29.25" style="30" customWidth="1"/>
    <col min="15106" max="15106" width="30" style="30" customWidth="1"/>
    <col min="15107" max="15360" width="9" style="30"/>
    <col min="15361" max="15361" width="29.25" style="30" customWidth="1"/>
    <col min="15362" max="15362" width="30" style="30" customWidth="1"/>
    <col min="15363" max="15616" width="9" style="30"/>
    <col min="15617" max="15617" width="29.25" style="30" customWidth="1"/>
    <col min="15618" max="15618" width="30" style="30" customWidth="1"/>
    <col min="15619" max="15872" width="9" style="30"/>
    <col min="15873" max="15873" width="29.25" style="30" customWidth="1"/>
    <col min="15874" max="15874" width="30" style="30" customWidth="1"/>
    <col min="15875" max="16128" width="9" style="30"/>
    <col min="16129" max="16129" width="29.25" style="30" customWidth="1"/>
    <col min="16130" max="16130" width="30" style="30" customWidth="1"/>
    <col min="16131" max="16384" width="9" style="30"/>
  </cols>
  <sheetData>
    <row r="1" ht="33" customHeight="1" spans="1:2">
      <c r="A1" s="31" t="s">
        <v>573</v>
      </c>
      <c r="B1" s="31"/>
    </row>
    <row r="2" customHeight="1" spans="1:2">
      <c r="A2" s="32" t="s">
        <v>574</v>
      </c>
      <c r="B2" s="32" t="s">
        <v>575</v>
      </c>
    </row>
    <row r="3" customHeight="1" spans="1:2">
      <c r="A3" s="32" t="s">
        <v>576</v>
      </c>
      <c r="B3" s="33">
        <f>光明跃进!F42*0.5</f>
        <v>12.88</v>
      </c>
    </row>
    <row r="4" customHeight="1" spans="1:2">
      <c r="A4" s="32" t="s">
        <v>577</v>
      </c>
      <c r="B4" s="33"/>
    </row>
    <row r="5" customHeight="1" spans="1:2">
      <c r="A5" s="32" t="s">
        <v>578</v>
      </c>
      <c r="B5" s="33"/>
    </row>
    <row r="6" customHeight="1" spans="1:2">
      <c r="A6" s="32" t="s">
        <v>579</v>
      </c>
      <c r="B6" s="33">
        <f>光明跃进!F42*0.5</f>
        <v>12.88</v>
      </c>
    </row>
    <row r="7" customHeight="1" spans="1:2">
      <c r="A7" s="32"/>
      <c r="B7" s="33"/>
    </row>
    <row r="8" customHeight="1" spans="1:2">
      <c r="A8" s="32"/>
      <c r="B8" s="33"/>
    </row>
    <row r="9" customHeight="1" spans="1:2">
      <c r="A9" s="32" t="s">
        <v>580</v>
      </c>
      <c r="B9" s="33">
        <f>SUM(B3:B8)</f>
        <v>25.76</v>
      </c>
    </row>
  </sheetData>
  <mergeCells count="1">
    <mergeCell ref="A1:B1"/>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5" style="1" customWidth="1"/>
    <col min="2" max="2" width="19" style="1" customWidth="1"/>
    <col min="3" max="3" width="13.875" style="1" customWidth="1"/>
    <col min="4" max="4" width="10" style="1"/>
    <col min="5" max="5" width="9.875" style="1" customWidth="1"/>
    <col min="6" max="6" width="10.5" style="1" customWidth="1"/>
    <col min="7" max="7" width="11.75" style="1" customWidth="1"/>
    <col min="8" max="8" width="10.75" style="1" customWidth="1"/>
    <col min="9" max="9" width="11.125" style="1" customWidth="1"/>
    <col min="10" max="10" width="12.125" style="1" customWidth="1"/>
    <col min="11" max="11" width="11.5" style="1" customWidth="1"/>
    <col min="12" max="12" width="13.375" style="1" customWidth="1"/>
    <col min="13" max="13" width="14" style="1" customWidth="1"/>
    <col min="14" max="14" width="15.625" style="1" customWidth="1"/>
    <col min="15" max="16384" width="10" style="1"/>
  </cols>
  <sheetData>
    <row r="1" ht="76.5" customHeight="1" spans="1:15">
      <c r="A1" s="2" t="s">
        <v>581</v>
      </c>
      <c r="B1" s="2"/>
      <c r="C1" s="2"/>
      <c r="D1" s="2"/>
      <c r="E1" s="2"/>
      <c r="F1" s="2"/>
      <c r="G1" s="2"/>
      <c r="H1" s="2"/>
      <c r="I1" s="2"/>
      <c r="J1" s="2"/>
      <c r="K1" s="2"/>
      <c r="L1" s="2"/>
      <c r="M1" s="2"/>
      <c r="N1" s="2"/>
      <c r="O1" s="2"/>
    </row>
    <row r="2" ht="20.1" customHeight="1" spans="1:17">
      <c r="A2" s="3" t="s">
        <v>1</v>
      </c>
      <c r="B2" s="3" t="s">
        <v>582</v>
      </c>
      <c r="C2" s="3" t="s">
        <v>583</v>
      </c>
      <c r="D2" s="3"/>
      <c r="E2" s="3" t="s">
        <v>584</v>
      </c>
      <c r="F2" s="3"/>
      <c r="G2" s="3"/>
      <c r="H2" s="3"/>
      <c r="I2" s="3"/>
      <c r="J2" s="3"/>
      <c r="K2" s="3"/>
      <c r="L2" s="3"/>
      <c r="M2" s="3"/>
      <c r="N2" s="3"/>
      <c r="O2" s="3"/>
      <c r="P2" s="23"/>
      <c r="Q2" s="23"/>
    </row>
    <row r="3" ht="34.5" customHeight="1" spans="1:17">
      <c r="A3" s="3"/>
      <c r="B3" s="3"/>
      <c r="C3" s="3"/>
      <c r="D3" s="3"/>
      <c r="E3" s="4" t="s">
        <v>585</v>
      </c>
      <c r="F3" s="4" t="s">
        <v>586</v>
      </c>
      <c r="G3" s="4" t="s">
        <v>587</v>
      </c>
      <c r="H3" s="4" t="s">
        <v>588</v>
      </c>
      <c r="I3" s="4" t="s">
        <v>589</v>
      </c>
      <c r="J3" s="4" t="s">
        <v>590</v>
      </c>
      <c r="K3" s="4" t="s">
        <v>591</v>
      </c>
      <c r="L3" s="4" t="s">
        <v>592</v>
      </c>
      <c r="M3" s="4" t="s">
        <v>593</v>
      </c>
      <c r="N3" s="4" t="s">
        <v>594</v>
      </c>
      <c r="O3" s="4" t="s">
        <v>595</v>
      </c>
      <c r="P3" s="24" t="s">
        <v>596</v>
      </c>
      <c r="Q3" s="24" t="s">
        <v>597</v>
      </c>
    </row>
    <row r="4" ht="20.1" customHeight="1" spans="1:17">
      <c r="A4" s="5" t="s">
        <v>32</v>
      </c>
      <c r="B4" s="6" t="s">
        <v>598</v>
      </c>
      <c r="C4" s="3" t="s">
        <v>121</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100</v>
      </c>
      <c r="B6" s="12" t="s">
        <v>599</v>
      </c>
      <c r="C6" s="3" t="s">
        <v>121</v>
      </c>
      <c r="D6" s="3"/>
      <c r="E6" s="4">
        <v>0.17</v>
      </c>
      <c r="F6" s="4">
        <v>0.15</v>
      </c>
      <c r="G6" s="4">
        <v>0.13</v>
      </c>
      <c r="H6" s="4">
        <v>0.11</v>
      </c>
      <c r="I6" s="4">
        <v>0.085</v>
      </c>
      <c r="J6" s="4">
        <v>0.07</v>
      </c>
      <c r="K6" s="4">
        <v>0.04</v>
      </c>
      <c r="L6" s="25"/>
      <c r="M6" s="25"/>
      <c r="N6" s="25"/>
      <c r="O6" s="25"/>
      <c r="P6" s="26"/>
      <c r="Q6" s="26"/>
    </row>
    <row r="7" ht="20.1" customHeight="1" spans="1:17">
      <c r="A7" s="3" t="s">
        <v>119</v>
      </c>
      <c r="B7" s="13" t="s">
        <v>600</v>
      </c>
      <c r="C7" s="14" t="s">
        <v>601</v>
      </c>
      <c r="D7" s="15"/>
      <c r="E7" s="4">
        <v>0.37</v>
      </c>
      <c r="F7" s="4">
        <v>0.35</v>
      </c>
      <c r="G7" s="4">
        <v>0.33</v>
      </c>
      <c r="H7" s="4">
        <v>0.29</v>
      </c>
      <c r="I7" s="4">
        <v>0.27</v>
      </c>
      <c r="J7" s="4">
        <v>0.22</v>
      </c>
      <c r="K7" s="4">
        <v>0.18</v>
      </c>
      <c r="L7" s="25"/>
      <c r="M7" s="25"/>
      <c r="N7" s="25"/>
      <c r="O7" s="25"/>
      <c r="P7" s="26"/>
      <c r="Q7" s="26"/>
    </row>
    <row r="8" ht="20.1" customHeight="1" spans="1:17">
      <c r="A8" s="3"/>
      <c r="B8" s="16" t="s">
        <v>602</v>
      </c>
      <c r="C8" s="14" t="s">
        <v>601</v>
      </c>
      <c r="D8" s="15"/>
      <c r="E8" s="4">
        <v>0.37</v>
      </c>
      <c r="F8" s="4">
        <v>0.35</v>
      </c>
      <c r="G8" s="4">
        <v>0.33</v>
      </c>
      <c r="H8" s="4">
        <v>0.29</v>
      </c>
      <c r="I8" s="4">
        <v>0.27</v>
      </c>
      <c r="J8" s="4">
        <v>0.22</v>
      </c>
      <c r="K8" s="4">
        <v>0.18</v>
      </c>
      <c r="L8" s="25"/>
      <c r="M8" s="25"/>
      <c r="N8" s="25"/>
      <c r="O8" s="25"/>
      <c r="P8" s="26"/>
      <c r="Q8" s="26"/>
    </row>
    <row r="9" ht="20.1" customHeight="1" spans="1:17">
      <c r="A9" s="3"/>
      <c r="B9" s="17"/>
      <c r="C9" s="18" t="e">
        <f>光明跃进!#REF!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603</v>
      </c>
      <c r="C10" s="14" t="s">
        <v>601</v>
      </c>
      <c r="D10" s="15"/>
      <c r="E10" s="4">
        <v>0.37</v>
      </c>
      <c r="F10" s="4">
        <v>0.35</v>
      </c>
      <c r="G10" s="4">
        <v>0.33</v>
      </c>
      <c r="H10" s="4">
        <v>0.29</v>
      </c>
      <c r="I10" s="4">
        <v>0.27</v>
      </c>
      <c r="J10" s="4">
        <v>0.22</v>
      </c>
      <c r="K10" s="4">
        <v>0.18</v>
      </c>
      <c r="L10" s="25"/>
      <c r="M10" s="25"/>
      <c r="N10" s="25"/>
      <c r="O10" s="25"/>
      <c r="P10" s="26"/>
      <c r="Q10" s="29" t="s">
        <v>604</v>
      </c>
    </row>
    <row r="11" ht="20.1" customHeight="1" spans="1:17">
      <c r="A11" s="5" t="s">
        <v>572</v>
      </c>
      <c r="B11" s="6" t="s">
        <v>605</v>
      </c>
      <c r="C11" s="3" t="s">
        <v>606</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f>光明跃进!F42</f>
        <v>25.76</v>
      </c>
      <c r="D12" s="10"/>
      <c r="E12" s="11">
        <f>IF(C12&gt;=100,100*E11/100,C12*E11/100)</f>
        <v>0.010304</v>
      </c>
      <c r="F12" s="11">
        <f>IF(C12&lt;=100,0,IF(C12&gt;=500,400*F11/100,(C12-100)*F11/100))</f>
        <v>0</v>
      </c>
      <c r="G12" s="11">
        <f>IF(C12&lt;=500,0,IF(C12&gt;=1000,500*G11/100,(C12-500)*G11/100))</f>
        <v>0</v>
      </c>
      <c r="H12" s="11">
        <f>IF(C12&lt;=1000,0,IF(C12&gt;=3000,2000*H11/100,(C12-1000)*H11/100))</f>
        <v>0</v>
      </c>
      <c r="I12" s="11">
        <f>IF(C12&lt;=3000,0,IF(C12&gt;=5000,2000*I11/100,(C12-3000)*I11/100))</f>
        <v>0</v>
      </c>
      <c r="J12" s="11">
        <f>IF(C12&lt;=5000,0,IF(C12&gt;=10000,5000*J11/100,(C12-5000)*J11/100))</f>
        <v>0</v>
      </c>
      <c r="K12" s="11">
        <f>IF(C12&lt;=10000,0,IF(C12&gt;=50000,40000*K11/100,(C12-10000)*K11/100))</f>
        <v>0</v>
      </c>
      <c r="L12" s="11">
        <f>IF(C12&lt;=50000,0,IF(C12&gt;=100000,50000*L11/100,(C12-50000)*L11/100))</f>
        <v>0</v>
      </c>
      <c r="M12" s="11">
        <f>IF(C12&lt;=100000,0,IF(C12&gt;=500000,400000*M11/100,(C12-100000)*M11/100))</f>
        <v>0</v>
      </c>
      <c r="N12" s="11">
        <f>IF(C12&lt;=500000,0,IF(C12&gt;=1000000,500000*N11/100,(D12-500000)*N11/100))</f>
        <v>0</v>
      </c>
      <c r="O12" s="11">
        <f>IF(C12&lt;=1000000,0,(C12-1000000)*O11/100)</f>
        <v>0</v>
      </c>
      <c r="P12" s="27">
        <f>SUM(E12:O12)</f>
        <v>0.010304</v>
      </c>
      <c r="Q12" s="26"/>
    </row>
    <row r="13" ht="20.1" customHeight="1" spans="1:17">
      <c r="A13" s="5" t="s">
        <v>607</v>
      </c>
      <c r="B13" s="6" t="s">
        <v>608</v>
      </c>
      <c r="C13" s="3" t="s">
        <v>606</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f>C12</f>
        <v>25.76</v>
      </c>
      <c r="D14" s="10"/>
      <c r="E14" s="11">
        <f>IF(C14&gt;=100,100*E13/100,C14*E13/100)</f>
        <v>0.02576</v>
      </c>
      <c r="F14" s="11">
        <f>IF(C14&lt;=100,0,IF(C14&gt;=500,400*F13/100,(C14-100)*F13/100))</f>
        <v>0</v>
      </c>
      <c r="G14" s="11">
        <f>IF(C14&lt;=500,0,IF(C14&gt;=1000,500*G13/100,(C14-500)*G13/100))</f>
        <v>0</v>
      </c>
      <c r="H14" s="11">
        <f>IF(C14&lt;=1000,0,IF(C14&gt;=3000,2000*H13/100,(C14-1000)*H13/100))</f>
        <v>0</v>
      </c>
      <c r="I14" s="11">
        <f>IF(C14&lt;=3000,0,IF(C14&gt;=5000,2000*I13/100,(C14-3000)*I13/100))</f>
        <v>0</v>
      </c>
      <c r="J14" s="11">
        <f>IF(C14&lt;=5000,0,IF(C14&gt;=10000,5000*J13/100,(C14-5000)*J13/100))</f>
        <v>0</v>
      </c>
      <c r="K14" s="11">
        <f>IF(C14&lt;=10000,0,IF(C14&gt;=50000,40000*K13/100,(C14-10000)*K13/100))</f>
        <v>0</v>
      </c>
      <c r="L14" s="11">
        <f>IF(C14&lt;=50000,0,IF(C14&gt;=100000,50000*L13/100,(C14-50000)*L13/100))</f>
        <v>0</v>
      </c>
      <c r="M14" s="11">
        <f>IF(C14&lt;=100000,0,IF(C14&gt;=500000,400000*M13/100,(C14-100000)*M13/100))</f>
        <v>0</v>
      </c>
      <c r="N14" s="11">
        <f>IF(C14&lt;=500000,0,IF(C14&gt;=1000000,500000*N13/100,(D14-500000)*N13/100))</f>
        <v>0</v>
      </c>
      <c r="O14" s="11">
        <f>IF(C14&lt;=1000000,0,(C14-1000000)*O13/100)</f>
        <v>0</v>
      </c>
      <c r="P14" s="27">
        <f>SUM(E14:O14)</f>
        <v>0.02576</v>
      </c>
      <c r="Q14" s="26"/>
    </row>
    <row r="15" ht="20.1" customHeight="1" spans="1:17">
      <c r="A15" s="5" t="s">
        <v>609</v>
      </c>
      <c r="B15" s="6" t="s">
        <v>610</v>
      </c>
      <c r="C15" s="3" t="s">
        <v>601</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611</v>
      </c>
      <c r="B17" s="6" t="s">
        <v>612</v>
      </c>
      <c r="C17" s="3" t="s">
        <v>601</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613</v>
      </c>
      <c r="B19" s="6" t="s">
        <v>614</v>
      </c>
      <c r="C19" s="14" t="s">
        <v>601</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615</v>
      </c>
      <c r="B21" s="12" t="s">
        <v>616</v>
      </c>
      <c r="C21" s="3" t="s">
        <v>617</v>
      </c>
      <c r="D21" s="3" t="s">
        <v>618</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619</v>
      </c>
      <c r="E22" s="4">
        <v>0.36</v>
      </c>
      <c r="F22" s="4">
        <v>0.31</v>
      </c>
      <c r="G22" s="4">
        <v>0.22</v>
      </c>
      <c r="H22" s="4">
        <v>0.19</v>
      </c>
      <c r="I22" s="4">
        <v>0.16</v>
      </c>
      <c r="J22" s="4">
        <v>0.12</v>
      </c>
      <c r="K22" s="4">
        <v>0.09</v>
      </c>
      <c r="L22" s="25"/>
      <c r="M22" s="25"/>
      <c r="N22" s="25"/>
      <c r="O22" s="25"/>
      <c r="P22" s="26"/>
      <c r="Q22" s="26"/>
    </row>
    <row r="23" ht="20.1" customHeight="1" spans="1:17">
      <c r="A23" s="3"/>
      <c r="B23" s="12"/>
      <c r="C23" s="3" t="s">
        <v>620</v>
      </c>
      <c r="D23" s="3" t="s">
        <v>618</v>
      </c>
      <c r="E23" s="4">
        <v>6.3</v>
      </c>
      <c r="F23" s="4">
        <v>5.7</v>
      </c>
      <c r="G23" s="4">
        <v>5.1</v>
      </c>
      <c r="H23" s="4">
        <v>4</v>
      </c>
      <c r="I23" s="4">
        <v>3.8</v>
      </c>
      <c r="J23" s="4">
        <v>3.6</v>
      </c>
      <c r="K23" s="4">
        <v>3.2</v>
      </c>
      <c r="L23" s="25"/>
      <c r="M23" s="25"/>
      <c r="N23" s="25"/>
      <c r="O23" s="25"/>
      <c r="P23" s="26"/>
      <c r="Q23" s="26"/>
    </row>
    <row r="24" ht="20.1" customHeight="1" spans="1:17">
      <c r="A24" s="3"/>
      <c r="B24" s="12"/>
      <c r="C24" s="3"/>
      <c r="D24" s="3" t="s">
        <v>619</v>
      </c>
      <c r="E24" s="4">
        <v>7.3</v>
      </c>
      <c r="F24" s="4">
        <v>6.7</v>
      </c>
      <c r="G24" s="4">
        <v>6.1</v>
      </c>
      <c r="H24" s="4">
        <v>5</v>
      </c>
      <c r="I24" s="4">
        <v>4.5</v>
      </c>
      <c r="J24" s="4">
        <v>3.7</v>
      </c>
      <c r="K24" s="4">
        <v>3.2</v>
      </c>
      <c r="L24" s="25"/>
      <c r="M24" s="25"/>
      <c r="N24" s="25"/>
      <c r="O24" s="25"/>
      <c r="P24" s="26"/>
      <c r="Q24" s="26"/>
    </row>
    <row r="25" ht="20.1" customHeight="1" spans="1:17">
      <c r="A25" s="3" t="s">
        <v>621</v>
      </c>
      <c r="B25" s="12" t="s">
        <v>622</v>
      </c>
      <c r="C25" s="3" t="s">
        <v>623</v>
      </c>
      <c r="D25" s="3"/>
      <c r="E25" s="19" t="s">
        <v>624</v>
      </c>
      <c r="F25" s="20"/>
      <c r="G25" s="20"/>
      <c r="H25" s="20"/>
      <c r="I25" s="20"/>
      <c r="J25" s="20"/>
      <c r="K25" s="20"/>
      <c r="L25" s="20"/>
      <c r="M25" s="20"/>
      <c r="N25" s="20"/>
      <c r="O25" s="28"/>
      <c r="P25" s="26"/>
      <c r="Q25" s="26"/>
    </row>
    <row r="27" ht="14.25" spans="1:1">
      <c r="A27" s="21" t="s">
        <v>625</v>
      </c>
    </row>
    <row r="28" ht="15.75" spans="1:1">
      <c r="A28" s="22" t="s">
        <v>626</v>
      </c>
    </row>
    <row r="29" ht="15.75" spans="1:1">
      <c r="A29" s="21" t="s">
        <v>627</v>
      </c>
    </row>
    <row r="30" ht="15.75" spans="1:1">
      <c r="A30" s="21" t="s">
        <v>628</v>
      </c>
    </row>
    <row r="31" ht="15.75" spans="1:1">
      <c r="A31" s="21" t="s">
        <v>629</v>
      </c>
    </row>
    <row r="32" ht="15.75" spans="1:1">
      <c r="A32" s="21" t="s">
        <v>630</v>
      </c>
    </row>
    <row r="33" ht="15.75" spans="1:1">
      <c r="A33" s="22" t="s">
        <v>631</v>
      </c>
    </row>
    <row r="34" ht="15.75" spans="1:1">
      <c r="A34" s="22" t="s">
        <v>632</v>
      </c>
    </row>
    <row r="35" ht="15.75" spans="1:1">
      <c r="A35" s="22" t="s">
        <v>633</v>
      </c>
    </row>
    <row r="36" ht="15.75" spans="1:1">
      <c r="A36" s="22" t="s">
        <v>634</v>
      </c>
    </row>
    <row r="37" ht="15.75" spans="1:1">
      <c r="A37" s="21" t="s">
        <v>635</v>
      </c>
    </row>
    <row r="38" ht="15.75" spans="1:1">
      <c r="A38" s="21" t="s">
        <v>636</v>
      </c>
    </row>
    <row r="39" ht="15.75" spans="1:1">
      <c r="A39" s="21" t="s">
        <v>637</v>
      </c>
    </row>
    <row r="40" ht="15.75" spans="1:1">
      <c r="A40" s="21" t="s">
        <v>638</v>
      </c>
    </row>
    <row r="41" ht="15.75" spans="1:1">
      <c r="A41" s="22" t="s">
        <v>639</v>
      </c>
    </row>
    <row r="42" ht="15.75" spans="1:1">
      <c r="A42" s="21" t="s">
        <v>640</v>
      </c>
    </row>
    <row r="43" ht="15.75" spans="1:1">
      <c r="A43" s="22" t="s">
        <v>641</v>
      </c>
    </row>
    <row r="44" ht="15.75" spans="1:1">
      <c r="A44" s="21" t="s">
        <v>642</v>
      </c>
    </row>
    <row r="45" ht="15.75" spans="1:1">
      <c r="A45" s="21" t="s">
        <v>643</v>
      </c>
    </row>
    <row r="46" ht="15.75" spans="1:1">
      <c r="A46" s="21" t="s">
        <v>644</v>
      </c>
    </row>
    <row r="47" ht="15.75" spans="1:1">
      <c r="A47" s="21" t="s">
        <v>645</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P48"/>
  <sheetViews>
    <sheetView zoomScale="85" zoomScaleNormal="85" workbookViewId="0">
      <pane ySplit="4" topLeftCell="A5" activePane="bottomLeft" state="frozen"/>
      <selection/>
      <selection pane="bottomLeft" activeCell="B41" sqref="B41"/>
    </sheetView>
  </sheetViews>
  <sheetFormatPr defaultColWidth="8.875" defaultRowHeight="20.1" customHeight="1"/>
  <cols>
    <col min="1" max="1" width="5.125" style="64" customWidth="1"/>
    <col min="2" max="2" width="26.625" style="65" customWidth="1"/>
    <col min="3" max="3" width="6.5" style="30" customWidth="1"/>
    <col min="4" max="4" width="10.625" style="30" customWidth="1"/>
    <col min="5" max="6" width="12.625" style="30" customWidth="1"/>
    <col min="7" max="7" width="5.375" style="66" customWidth="1"/>
    <col min="8" max="8" width="10.125" style="30" customWidth="1"/>
    <col min="9" max="9" width="11.5" style="66" customWidth="1"/>
    <col min="10" max="10" width="10.125" style="66" customWidth="1"/>
    <col min="11" max="11" width="10.125" style="228" customWidth="1"/>
    <col min="12" max="12" width="38.5" style="65" customWidth="1"/>
    <col min="13" max="16384" width="8.875" style="30"/>
  </cols>
  <sheetData>
    <row r="1" s="62" customFormat="1" ht="20.85" customHeight="1" spans="1:12">
      <c r="A1" s="112" t="s">
        <v>21</v>
      </c>
      <c r="B1" s="113"/>
      <c r="C1" s="112"/>
      <c r="D1" s="114"/>
      <c r="E1" s="114"/>
      <c r="F1" s="114"/>
      <c r="G1" s="112"/>
      <c r="H1" s="112"/>
      <c r="I1" s="112"/>
      <c r="J1" s="114"/>
      <c r="K1" s="242"/>
      <c r="L1" s="113"/>
    </row>
    <row r="2" s="62" customFormat="1" ht="20.85" customHeight="1" spans="1:12">
      <c r="A2" s="112" t="s">
        <v>23</v>
      </c>
      <c r="B2" s="113"/>
      <c r="C2" s="112"/>
      <c r="D2" s="114"/>
      <c r="E2" s="114"/>
      <c r="F2" s="114"/>
      <c r="G2" s="112"/>
      <c r="H2" s="112"/>
      <c r="I2" s="112"/>
      <c r="J2" s="114"/>
      <c r="K2" s="242"/>
      <c r="L2" s="113"/>
    </row>
    <row r="3" ht="18" customHeight="1" spans="1:12">
      <c r="A3" s="115" t="s">
        <v>1</v>
      </c>
      <c r="B3" s="96" t="s">
        <v>2</v>
      </c>
      <c r="C3" s="230" t="s">
        <v>24</v>
      </c>
      <c r="D3" s="231"/>
      <c r="E3" s="231"/>
      <c r="F3" s="232"/>
      <c r="G3" s="230" t="s">
        <v>25</v>
      </c>
      <c r="H3" s="231"/>
      <c r="I3" s="231"/>
      <c r="J3" s="232"/>
      <c r="K3" s="243" t="s">
        <v>26</v>
      </c>
      <c r="L3" s="244" t="s">
        <v>27</v>
      </c>
    </row>
    <row r="4" ht="27.4" customHeight="1" spans="1:12">
      <c r="A4" s="115"/>
      <c r="B4" s="96"/>
      <c r="C4" s="96" t="s">
        <v>28</v>
      </c>
      <c r="D4" s="97" t="s">
        <v>29</v>
      </c>
      <c r="E4" s="116" t="s">
        <v>30</v>
      </c>
      <c r="F4" s="116" t="s">
        <v>31</v>
      </c>
      <c r="G4" s="97" t="s">
        <v>28</v>
      </c>
      <c r="H4" s="97" t="s">
        <v>29</v>
      </c>
      <c r="I4" s="116" t="s">
        <v>30</v>
      </c>
      <c r="J4" s="116" t="s">
        <v>31</v>
      </c>
      <c r="K4" s="245"/>
      <c r="L4" s="96"/>
    </row>
    <row r="5" s="63" customFormat="1" ht="18" customHeight="1" spans="1:12">
      <c r="A5" s="94" t="s">
        <v>32</v>
      </c>
      <c r="B5" s="95" t="s">
        <v>33</v>
      </c>
      <c r="C5" s="102"/>
      <c r="D5" s="233"/>
      <c r="E5" s="103"/>
      <c r="F5" s="98">
        <v>4170.71</v>
      </c>
      <c r="G5" s="96"/>
      <c r="H5" s="97"/>
      <c r="I5" s="97"/>
      <c r="J5" s="98">
        <f>J6+J8+J20+J28+J30</f>
        <v>4171.43</v>
      </c>
      <c r="K5" s="98">
        <f t="shared" ref="K5:K10" si="0">J5-F5</f>
        <v>0.72</v>
      </c>
      <c r="L5" s="246"/>
    </row>
    <row r="6" s="63" customFormat="1" ht="18" customHeight="1" outlineLevel="1" spans="1:12">
      <c r="A6" s="73" t="s">
        <v>34</v>
      </c>
      <c r="B6" s="74" t="s">
        <v>35</v>
      </c>
      <c r="C6" s="234"/>
      <c r="D6" s="235"/>
      <c r="E6" s="219"/>
      <c r="F6" s="75">
        <v>109.72</v>
      </c>
      <c r="G6" s="70"/>
      <c r="H6" s="71"/>
      <c r="I6" s="71"/>
      <c r="J6" s="75">
        <f>SUM(J7)</f>
        <v>109.72</v>
      </c>
      <c r="K6" s="75">
        <f t="shared" si="0"/>
        <v>0</v>
      </c>
      <c r="L6" s="248"/>
    </row>
    <row r="7" ht="18" customHeight="1" outlineLevel="2" spans="1:12">
      <c r="A7" s="76">
        <v>1</v>
      </c>
      <c r="B7" s="77" t="s">
        <v>35</v>
      </c>
      <c r="C7" s="78" t="s">
        <v>36</v>
      </c>
      <c r="D7" s="79">
        <v>3134.8</v>
      </c>
      <c r="E7" s="79">
        <v>350</v>
      </c>
      <c r="F7" s="80">
        <f>D7*E7/10000</f>
        <v>109.72</v>
      </c>
      <c r="G7" s="78" t="s">
        <v>36</v>
      </c>
      <c r="H7" s="79">
        <v>3134.8</v>
      </c>
      <c r="I7" s="79">
        <v>350</v>
      </c>
      <c r="J7" s="249">
        <f>H7*I7/10000</f>
        <v>109.72</v>
      </c>
      <c r="K7" s="249">
        <f t="shared" si="0"/>
        <v>0</v>
      </c>
      <c r="L7" s="257"/>
    </row>
    <row r="8" ht="18" customHeight="1" outlineLevel="1" spans="1:12">
      <c r="A8" s="73" t="s">
        <v>37</v>
      </c>
      <c r="B8" s="74" t="s">
        <v>38</v>
      </c>
      <c r="C8" s="234"/>
      <c r="D8" s="84"/>
      <c r="E8" s="219"/>
      <c r="F8" s="75">
        <f>F9+F13</f>
        <v>1259.43</v>
      </c>
      <c r="G8" s="82"/>
      <c r="H8" s="83"/>
      <c r="I8" s="83"/>
      <c r="J8" s="75">
        <f>SUM(J9,J13)</f>
        <v>1281.18</v>
      </c>
      <c r="K8" s="75">
        <f t="shared" si="0"/>
        <v>21.75</v>
      </c>
      <c r="L8" s="250"/>
    </row>
    <row r="9" ht="18" customHeight="1" outlineLevel="2" spans="1:13">
      <c r="A9" s="76" t="s">
        <v>39</v>
      </c>
      <c r="B9" s="77" t="s">
        <v>40</v>
      </c>
      <c r="C9" s="78" t="s">
        <v>41</v>
      </c>
      <c r="D9" s="84">
        <v>3</v>
      </c>
      <c r="E9" s="79"/>
      <c r="F9" s="80">
        <f>SUM(F10:F12)</f>
        <v>204.36</v>
      </c>
      <c r="G9" s="78" t="s">
        <v>41</v>
      </c>
      <c r="H9" s="84">
        <v>3</v>
      </c>
      <c r="I9" s="79"/>
      <c r="J9" s="249">
        <f>SUM(J10:J12)</f>
        <v>154.77</v>
      </c>
      <c r="K9" s="249">
        <f t="shared" si="0"/>
        <v>-49.59</v>
      </c>
      <c r="L9" s="256" t="s">
        <v>42</v>
      </c>
      <c r="M9" s="228"/>
    </row>
    <row r="10" ht="18" customHeight="1" outlineLevel="2" spans="1:12">
      <c r="A10" s="76" t="s">
        <v>43</v>
      </c>
      <c r="B10" s="87" t="s">
        <v>44</v>
      </c>
      <c r="C10" s="78" t="s">
        <v>41</v>
      </c>
      <c r="D10" s="84">
        <v>3</v>
      </c>
      <c r="E10" s="79">
        <v>515300</v>
      </c>
      <c r="F10" s="236">
        <f>D10*E10/10000</f>
        <v>154.59</v>
      </c>
      <c r="G10" s="78" t="s">
        <v>41</v>
      </c>
      <c r="H10" s="84">
        <v>3</v>
      </c>
      <c r="I10" s="253">
        <v>350000</v>
      </c>
      <c r="J10" s="249">
        <f>H10*I10/10000</f>
        <v>105</v>
      </c>
      <c r="K10" s="249">
        <f t="shared" si="0"/>
        <v>-49.59</v>
      </c>
      <c r="L10" s="256" t="s">
        <v>45</v>
      </c>
    </row>
    <row r="11" ht="18" customHeight="1" outlineLevel="2" spans="1:12">
      <c r="A11" s="76" t="s">
        <v>46</v>
      </c>
      <c r="B11" s="87" t="s">
        <v>47</v>
      </c>
      <c r="C11" s="78" t="s">
        <v>41</v>
      </c>
      <c r="D11" s="84">
        <v>3</v>
      </c>
      <c r="E11" s="79">
        <v>108400</v>
      </c>
      <c r="F11" s="236">
        <f>D11*E11/10000</f>
        <v>32.52</v>
      </c>
      <c r="G11" s="78" t="s">
        <v>41</v>
      </c>
      <c r="H11" s="84">
        <v>3</v>
      </c>
      <c r="I11" s="79">
        <v>108400</v>
      </c>
      <c r="J11" s="249">
        <f t="shared" ref="J11:J12" si="1">H11*I11/10000</f>
        <v>32.52</v>
      </c>
      <c r="K11" s="249">
        <f t="shared" ref="K11:K12" si="2">J11-F11</f>
        <v>0</v>
      </c>
      <c r="L11" s="256" t="s">
        <v>48</v>
      </c>
    </row>
    <row r="12" ht="18" customHeight="1" outlineLevel="2" spans="1:12">
      <c r="A12" s="76" t="s">
        <v>49</v>
      </c>
      <c r="B12" s="87" t="s">
        <v>50</v>
      </c>
      <c r="C12" s="237" t="s">
        <v>51</v>
      </c>
      <c r="D12" s="84">
        <f>23*3</f>
        <v>69</v>
      </c>
      <c r="E12" s="79">
        <v>2500</v>
      </c>
      <c r="F12" s="236">
        <f>D12*E12/10000</f>
        <v>17.25</v>
      </c>
      <c r="G12" s="237" t="s">
        <v>51</v>
      </c>
      <c r="H12" s="84">
        <f>23*3</f>
        <v>69</v>
      </c>
      <c r="I12" s="79">
        <v>2500</v>
      </c>
      <c r="J12" s="79">
        <f t="shared" si="1"/>
        <v>17.25</v>
      </c>
      <c r="K12" s="249">
        <f t="shared" si="2"/>
        <v>0</v>
      </c>
      <c r="L12" s="257"/>
    </row>
    <row r="13" ht="18" customHeight="1" outlineLevel="2" spans="1:12">
      <c r="A13" s="76" t="s">
        <v>52</v>
      </c>
      <c r="B13" s="77" t="s">
        <v>53</v>
      </c>
      <c r="C13" s="78"/>
      <c r="D13" s="84"/>
      <c r="E13" s="79"/>
      <c r="F13" s="80">
        <f>SUM(F14:F19)</f>
        <v>1055.07</v>
      </c>
      <c r="G13" s="86"/>
      <c r="H13" s="79"/>
      <c r="I13" s="83"/>
      <c r="J13" s="319">
        <f>SUM(J14:J19)</f>
        <v>1126.41</v>
      </c>
      <c r="K13" s="83"/>
      <c r="L13" s="257"/>
    </row>
    <row r="14" ht="18" customHeight="1" outlineLevel="2" spans="1:12">
      <c r="A14" s="76" t="s">
        <v>43</v>
      </c>
      <c r="B14" s="85" t="s">
        <v>54</v>
      </c>
      <c r="C14" s="78" t="s">
        <v>51</v>
      </c>
      <c r="D14" s="79">
        <v>3354</v>
      </c>
      <c r="E14" s="79">
        <v>1175.81</v>
      </c>
      <c r="F14" s="236">
        <f>D14*E14/10000</f>
        <v>394.37</v>
      </c>
      <c r="G14" s="78" t="s">
        <v>51</v>
      </c>
      <c r="H14" s="79">
        <v>3354</v>
      </c>
      <c r="I14" s="79">
        <v>1175.81</v>
      </c>
      <c r="J14" s="79">
        <f t="shared" ref="J14" si="3">H14*I14/10000</f>
        <v>394.37</v>
      </c>
      <c r="K14" s="249">
        <f t="shared" ref="K14" si="4">J14-F14</f>
        <v>0</v>
      </c>
      <c r="L14" s="251" t="s">
        <v>55</v>
      </c>
    </row>
    <row r="15" ht="18" customHeight="1" outlineLevel="2" spans="1:13">
      <c r="A15" s="76" t="s">
        <v>46</v>
      </c>
      <c r="B15" s="87" t="s">
        <v>56</v>
      </c>
      <c r="C15" s="78" t="s">
        <v>51</v>
      </c>
      <c r="D15" s="79">
        <v>32771</v>
      </c>
      <c r="E15" s="79">
        <v>187.23</v>
      </c>
      <c r="F15" s="236">
        <f t="shared" ref="F15:F26" si="5">D15*E15/10000</f>
        <v>613.57</v>
      </c>
      <c r="G15" s="78" t="s">
        <v>51</v>
      </c>
      <c r="H15" s="79">
        <v>32771</v>
      </c>
      <c r="I15" s="253">
        <v>209</v>
      </c>
      <c r="J15" s="79">
        <f t="shared" ref="J15" si="6">H15*I15/10000</f>
        <v>684.91</v>
      </c>
      <c r="K15" s="249">
        <f t="shared" ref="K15" si="7">J15-F15</f>
        <v>71.34</v>
      </c>
      <c r="L15" s="251" t="s">
        <v>57</v>
      </c>
      <c r="M15" s="269" t="s">
        <v>58</v>
      </c>
    </row>
    <row r="16" ht="18" customHeight="1" outlineLevel="2" spans="1:12">
      <c r="A16" s="76" t="s">
        <v>49</v>
      </c>
      <c r="B16" s="87" t="s">
        <v>59</v>
      </c>
      <c r="C16" s="78" t="s">
        <v>60</v>
      </c>
      <c r="D16" s="84">
        <v>51</v>
      </c>
      <c r="E16" s="79">
        <v>3085.05</v>
      </c>
      <c r="F16" s="236">
        <f t="shared" si="5"/>
        <v>15.73</v>
      </c>
      <c r="G16" s="78" t="s">
        <v>60</v>
      </c>
      <c r="H16" s="84">
        <v>51</v>
      </c>
      <c r="I16" s="79">
        <v>3085.05</v>
      </c>
      <c r="J16" s="79">
        <f t="shared" ref="J16" si="8">H16*I16/10000</f>
        <v>15.73</v>
      </c>
      <c r="K16" s="249">
        <f t="shared" ref="K16" si="9">J16-F16</f>
        <v>0</v>
      </c>
      <c r="L16" s="251" t="s">
        <v>61</v>
      </c>
    </row>
    <row r="17" ht="18" customHeight="1" outlineLevel="2" spans="1:12">
      <c r="A17" s="76" t="s">
        <v>62</v>
      </c>
      <c r="B17" s="87" t="s">
        <v>63</v>
      </c>
      <c r="C17" s="78" t="s">
        <v>60</v>
      </c>
      <c r="D17" s="84">
        <v>84</v>
      </c>
      <c r="E17" s="79">
        <v>700.56</v>
      </c>
      <c r="F17" s="236">
        <f t="shared" si="5"/>
        <v>5.88</v>
      </c>
      <c r="G17" s="78" t="s">
        <v>60</v>
      </c>
      <c r="H17" s="84">
        <v>84</v>
      </c>
      <c r="I17" s="79">
        <v>700.56</v>
      </c>
      <c r="J17" s="79">
        <f t="shared" ref="J17:J19" si="10">H17*I17/10000</f>
        <v>5.88</v>
      </c>
      <c r="K17" s="249">
        <f t="shared" ref="K17:K21" si="11">J17-F17</f>
        <v>0</v>
      </c>
      <c r="L17" s="251" t="s">
        <v>64</v>
      </c>
    </row>
    <row r="18" ht="18" customHeight="1" outlineLevel="2" spans="1:12">
      <c r="A18" s="76" t="s">
        <v>65</v>
      </c>
      <c r="B18" s="87" t="s">
        <v>66</v>
      </c>
      <c r="C18" s="78" t="s">
        <v>60</v>
      </c>
      <c r="D18" s="84">
        <v>612</v>
      </c>
      <c r="E18" s="79">
        <v>221.35</v>
      </c>
      <c r="F18" s="236">
        <f t="shared" si="5"/>
        <v>13.55</v>
      </c>
      <c r="G18" s="78" t="s">
        <v>60</v>
      </c>
      <c r="H18" s="84">
        <v>612</v>
      </c>
      <c r="I18" s="79">
        <v>221.35</v>
      </c>
      <c r="J18" s="79">
        <f t="shared" si="10"/>
        <v>13.55</v>
      </c>
      <c r="K18" s="249">
        <f t="shared" si="11"/>
        <v>0</v>
      </c>
      <c r="L18" s="251" t="s">
        <v>67</v>
      </c>
    </row>
    <row r="19" ht="18" customHeight="1" outlineLevel="2" spans="1:12">
      <c r="A19" s="76" t="s">
        <v>68</v>
      </c>
      <c r="B19" s="87" t="s">
        <v>69</v>
      </c>
      <c r="C19" s="78" t="s">
        <v>41</v>
      </c>
      <c r="D19" s="84">
        <v>780</v>
      </c>
      <c r="E19" s="79">
        <v>153.47</v>
      </c>
      <c r="F19" s="236">
        <f t="shared" si="5"/>
        <v>11.97</v>
      </c>
      <c r="G19" s="78" t="s">
        <v>41</v>
      </c>
      <c r="H19" s="84">
        <v>780</v>
      </c>
      <c r="I19" s="79">
        <v>153.47</v>
      </c>
      <c r="J19" s="79">
        <f t="shared" si="10"/>
        <v>11.97</v>
      </c>
      <c r="K19" s="249">
        <f t="shared" si="11"/>
        <v>0</v>
      </c>
      <c r="L19" s="251" t="s">
        <v>70</v>
      </c>
    </row>
    <row r="20" ht="18" customHeight="1" outlineLevel="1" spans="1:12">
      <c r="A20" s="73" t="s">
        <v>71</v>
      </c>
      <c r="B20" s="74" t="s">
        <v>72</v>
      </c>
      <c r="C20" s="234"/>
      <c r="D20" s="84"/>
      <c r="E20" s="79"/>
      <c r="F20" s="75">
        <f>SUM(F21:F27)</f>
        <v>1518.66</v>
      </c>
      <c r="G20" s="90"/>
      <c r="H20" s="91"/>
      <c r="I20" s="86"/>
      <c r="J20" s="75">
        <f>SUM(J21:J27)</f>
        <v>1497.62</v>
      </c>
      <c r="K20" s="75">
        <f t="shared" si="11"/>
        <v>-21.04</v>
      </c>
      <c r="L20" s="255"/>
    </row>
    <row r="21" ht="18" customHeight="1" outlineLevel="2" spans="1:15">
      <c r="A21" s="76" t="s">
        <v>39</v>
      </c>
      <c r="B21" s="77" t="s">
        <v>73</v>
      </c>
      <c r="C21" s="78" t="s">
        <v>74</v>
      </c>
      <c r="D21" s="79">
        <v>14820</v>
      </c>
      <c r="E21" s="79">
        <v>223.54</v>
      </c>
      <c r="F21" s="93">
        <f t="shared" si="5"/>
        <v>331.29</v>
      </c>
      <c r="G21" s="78" t="s">
        <v>74</v>
      </c>
      <c r="H21" s="79">
        <v>14820</v>
      </c>
      <c r="I21" s="79">
        <v>223.54</v>
      </c>
      <c r="J21" s="93">
        <f>H21*I21/10000</f>
        <v>331.29</v>
      </c>
      <c r="K21" s="93">
        <f t="shared" si="11"/>
        <v>0</v>
      </c>
      <c r="L21" s="256" t="s">
        <v>75</v>
      </c>
      <c r="M21" s="65"/>
      <c r="N21" s="65"/>
      <c r="O21" s="65"/>
    </row>
    <row r="22" ht="18" customHeight="1" outlineLevel="2" spans="1:15">
      <c r="A22" s="76" t="s">
        <v>52</v>
      </c>
      <c r="B22" s="77" t="s">
        <v>76</v>
      </c>
      <c r="C22" s="78" t="s">
        <v>74</v>
      </c>
      <c r="D22" s="79">
        <v>8003.6</v>
      </c>
      <c r="E22" s="79">
        <v>215.89</v>
      </c>
      <c r="F22" s="93">
        <f t="shared" si="5"/>
        <v>172.79</v>
      </c>
      <c r="G22" s="78" t="s">
        <v>74</v>
      </c>
      <c r="H22" s="79">
        <v>8003.6</v>
      </c>
      <c r="I22" s="79">
        <v>215.89</v>
      </c>
      <c r="J22" s="93">
        <f t="shared" ref="J22:J26" si="12">H22*I22/10000</f>
        <v>172.79</v>
      </c>
      <c r="K22" s="93">
        <f t="shared" ref="K22:K26" si="13">J22-F22</f>
        <v>0</v>
      </c>
      <c r="L22" s="256" t="s">
        <v>77</v>
      </c>
      <c r="M22" s="65"/>
      <c r="N22" s="65"/>
      <c r="O22" s="65"/>
    </row>
    <row r="23" ht="18" customHeight="1" outlineLevel="2" spans="1:15">
      <c r="A23" s="76" t="s">
        <v>78</v>
      </c>
      <c r="B23" s="77" t="s">
        <v>79</v>
      </c>
      <c r="C23" s="78" t="s">
        <v>74</v>
      </c>
      <c r="D23" s="79">
        <v>40684.6</v>
      </c>
      <c r="E23" s="79">
        <v>215.89</v>
      </c>
      <c r="F23" s="93">
        <f t="shared" si="5"/>
        <v>878.34</v>
      </c>
      <c r="G23" s="78" t="s">
        <v>74</v>
      </c>
      <c r="H23" s="79">
        <v>40684.6</v>
      </c>
      <c r="I23" s="79">
        <v>215.89</v>
      </c>
      <c r="J23" s="93">
        <f t="shared" si="12"/>
        <v>878.34</v>
      </c>
      <c r="K23" s="93">
        <f t="shared" si="13"/>
        <v>0</v>
      </c>
      <c r="L23" s="256" t="s">
        <v>77</v>
      </c>
      <c r="M23" s="65"/>
      <c r="N23" s="65"/>
      <c r="O23" s="65"/>
    </row>
    <row r="24" ht="18" customHeight="1" outlineLevel="2" spans="1:15">
      <c r="A24" s="76" t="s">
        <v>80</v>
      </c>
      <c r="B24" s="77" t="s">
        <v>81</v>
      </c>
      <c r="C24" s="78" t="s">
        <v>74</v>
      </c>
      <c r="D24" s="79">
        <v>450</v>
      </c>
      <c r="E24" s="79">
        <v>221.76</v>
      </c>
      <c r="F24" s="93">
        <f t="shared" si="5"/>
        <v>9.98</v>
      </c>
      <c r="G24" s="78" t="s">
        <v>74</v>
      </c>
      <c r="H24" s="79">
        <v>450</v>
      </c>
      <c r="I24" s="79">
        <v>221.76</v>
      </c>
      <c r="J24" s="93">
        <f t="shared" si="12"/>
        <v>9.98</v>
      </c>
      <c r="K24" s="93">
        <f t="shared" si="13"/>
        <v>0</v>
      </c>
      <c r="L24" s="256" t="s">
        <v>82</v>
      </c>
      <c r="M24" s="65"/>
      <c r="N24" s="65"/>
      <c r="O24" s="65"/>
    </row>
    <row r="25" ht="18" customHeight="1" outlineLevel="2" spans="1:15">
      <c r="A25" s="76" t="s">
        <v>83</v>
      </c>
      <c r="B25" s="77" t="s">
        <v>84</v>
      </c>
      <c r="C25" s="78" t="s">
        <v>74</v>
      </c>
      <c r="D25" s="79">
        <v>542</v>
      </c>
      <c r="E25" s="79">
        <v>215.14</v>
      </c>
      <c r="F25" s="93">
        <f t="shared" si="5"/>
        <v>11.66</v>
      </c>
      <c r="G25" s="78" t="s">
        <v>74</v>
      </c>
      <c r="H25" s="79">
        <v>542</v>
      </c>
      <c r="I25" s="79">
        <v>215.14</v>
      </c>
      <c r="J25" s="93">
        <f t="shared" si="12"/>
        <v>11.66</v>
      </c>
      <c r="K25" s="93">
        <f t="shared" si="13"/>
        <v>0</v>
      </c>
      <c r="L25" s="256"/>
      <c r="M25" s="65"/>
      <c r="N25" s="65"/>
      <c r="O25" s="65"/>
    </row>
    <row r="26" ht="18" customHeight="1" outlineLevel="2" spans="1:16">
      <c r="A26" s="76" t="s">
        <v>85</v>
      </c>
      <c r="B26" s="318" t="s">
        <v>86</v>
      </c>
      <c r="C26" s="78" t="s">
        <v>60</v>
      </c>
      <c r="D26" s="84">
        <v>62</v>
      </c>
      <c r="E26" s="79">
        <v>6380.07</v>
      </c>
      <c r="F26" s="93">
        <f t="shared" si="5"/>
        <v>39.56</v>
      </c>
      <c r="G26" s="78" t="s">
        <v>60</v>
      </c>
      <c r="H26" s="84">
        <v>62</v>
      </c>
      <c r="I26" s="79">
        <v>6380.07</v>
      </c>
      <c r="J26" s="93">
        <f t="shared" si="12"/>
        <v>39.56</v>
      </c>
      <c r="K26" s="93">
        <f t="shared" si="13"/>
        <v>0</v>
      </c>
      <c r="L26" s="256" t="s">
        <v>87</v>
      </c>
      <c r="M26" s="318" t="s">
        <v>88</v>
      </c>
      <c r="N26" s="65"/>
      <c r="O26" s="65"/>
      <c r="P26" s="65"/>
    </row>
    <row r="27" ht="18" customHeight="1" outlineLevel="2" spans="1:16">
      <c r="A27" s="76" t="s">
        <v>89</v>
      </c>
      <c r="B27" s="77" t="s">
        <v>90</v>
      </c>
      <c r="C27" s="78" t="s">
        <v>74</v>
      </c>
      <c r="D27" s="84"/>
      <c r="E27" s="79"/>
      <c r="F27" s="93">
        <v>75.04</v>
      </c>
      <c r="G27" s="78" t="s">
        <v>74</v>
      </c>
      <c r="H27" s="79">
        <v>90</v>
      </c>
      <c r="I27" s="253">
        <v>6000</v>
      </c>
      <c r="J27" s="93">
        <f t="shared" ref="J27" si="14">H27*I27/10000</f>
        <v>54</v>
      </c>
      <c r="K27" s="93">
        <f t="shared" ref="K27:K34" si="15">J27-F27</f>
        <v>-21.04</v>
      </c>
      <c r="L27" s="256" t="s">
        <v>91</v>
      </c>
      <c r="M27" s="258"/>
      <c r="N27" s="65"/>
      <c r="O27" s="65"/>
      <c r="P27" s="65"/>
    </row>
    <row r="28" ht="18" customHeight="1" outlineLevel="1" spans="1:16">
      <c r="A28" s="73" t="s">
        <v>92</v>
      </c>
      <c r="B28" s="74" t="s">
        <v>93</v>
      </c>
      <c r="C28" s="78"/>
      <c r="D28" s="84"/>
      <c r="E28" s="79"/>
      <c r="F28" s="218">
        <v>416.16</v>
      </c>
      <c r="G28" s="100"/>
      <c r="H28" s="101"/>
      <c r="I28" s="86"/>
      <c r="J28" s="218">
        <f>SUM(J29)</f>
        <v>416.16</v>
      </c>
      <c r="K28" s="218">
        <f t="shared" si="15"/>
        <v>0</v>
      </c>
      <c r="L28" s="257"/>
      <c r="M28" s="65"/>
      <c r="N28" s="65"/>
      <c r="O28" s="65"/>
      <c r="P28" s="65"/>
    </row>
    <row r="29" ht="18" customHeight="1" outlineLevel="2" spans="1:16">
      <c r="A29" s="76"/>
      <c r="B29" s="77" t="s">
        <v>94</v>
      </c>
      <c r="C29" s="78"/>
      <c r="D29" s="84"/>
      <c r="E29" s="79"/>
      <c r="F29" s="93">
        <v>416.16</v>
      </c>
      <c r="G29" s="100" t="s">
        <v>95</v>
      </c>
      <c r="H29" s="101">
        <v>1</v>
      </c>
      <c r="I29" s="79">
        <v>4161562</v>
      </c>
      <c r="J29" s="93">
        <v>416.16</v>
      </c>
      <c r="K29" s="93">
        <f t="shared" si="15"/>
        <v>0</v>
      </c>
      <c r="L29" s="257"/>
      <c r="M29" s="258"/>
      <c r="N29" s="65"/>
      <c r="O29" s="65"/>
      <c r="P29" s="65"/>
    </row>
    <row r="30" ht="18" customHeight="1" outlineLevel="1" spans="1:16">
      <c r="A30" s="73" t="s">
        <v>96</v>
      </c>
      <c r="B30" s="74" t="s">
        <v>97</v>
      </c>
      <c r="C30" s="234"/>
      <c r="D30" s="84"/>
      <c r="E30" s="219"/>
      <c r="F30" s="75">
        <f>SUM(F31:F32)</f>
        <v>866.75</v>
      </c>
      <c r="G30" s="100"/>
      <c r="H30" s="101"/>
      <c r="I30" s="86"/>
      <c r="J30" s="75">
        <f>SUM(J31:J32)</f>
        <v>866.75</v>
      </c>
      <c r="K30" s="75">
        <f t="shared" si="15"/>
        <v>0</v>
      </c>
      <c r="L30" s="257"/>
      <c r="M30" s="258"/>
      <c r="N30" s="65"/>
      <c r="O30" s="65"/>
      <c r="P30" s="65"/>
    </row>
    <row r="31" ht="18" customHeight="1" outlineLevel="2" spans="1:16">
      <c r="A31" s="76" t="s">
        <v>39</v>
      </c>
      <c r="B31" s="304" t="s">
        <v>98</v>
      </c>
      <c r="C31" s="78" t="s">
        <v>74</v>
      </c>
      <c r="D31" s="79">
        <v>3013.39</v>
      </c>
      <c r="E31" s="213">
        <v>2500</v>
      </c>
      <c r="F31" s="236">
        <f t="shared" ref="F31:F32" si="16">D31*E31/10000</f>
        <v>753.35</v>
      </c>
      <c r="G31" s="78" t="s">
        <v>74</v>
      </c>
      <c r="H31" s="79">
        <v>3013.39</v>
      </c>
      <c r="I31" s="213">
        <v>2500</v>
      </c>
      <c r="J31" s="213">
        <f>H31*I31/10000</f>
        <v>753.35</v>
      </c>
      <c r="K31" s="213">
        <f t="shared" si="15"/>
        <v>0</v>
      </c>
      <c r="L31" s="257"/>
      <c r="M31" s="258"/>
      <c r="N31" s="65"/>
      <c r="O31" s="65"/>
      <c r="P31" s="65"/>
    </row>
    <row r="32" ht="18" customHeight="1" outlineLevel="2" spans="1:16">
      <c r="A32" s="76" t="s">
        <v>52</v>
      </c>
      <c r="B32" s="304" t="s">
        <v>99</v>
      </c>
      <c r="C32" s="78" t="s">
        <v>74</v>
      </c>
      <c r="D32" s="79">
        <v>5670.04</v>
      </c>
      <c r="E32" s="213">
        <v>200</v>
      </c>
      <c r="F32" s="236">
        <f t="shared" si="16"/>
        <v>113.4</v>
      </c>
      <c r="G32" s="78" t="s">
        <v>74</v>
      </c>
      <c r="H32" s="79">
        <v>5670.04</v>
      </c>
      <c r="I32" s="213">
        <v>200</v>
      </c>
      <c r="J32" s="213">
        <f>H32*I32/10000</f>
        <v>113.4</v>
      </c>
      <c r="K32" s="213">
        <f t="shared" si="15"/>
        <v>0</v>
      </c>
      <c r="L32" s="320" t="s">
        <v>75</v>
      </c>
      <c r="M32" s="258"/>
      <c r="N32" s="65"/>
      <c r="O32" s="65"/>
      <c r="P32" s="65"/>
    </row>
    <row r="33" s="63" customFormat="1" ht="18" customHeight="1" spans="1:12">
      <c r="A33" s="94" t="s">
        <v>100</v>
      </c>
      <c r="B33" s="95" t="s">
        <v>101</v>
      </c>
      <c r="C33" s="102"/>
      <c r="D33" s="233"/>
      <c r="E33" s="103"/>
      <c r="F33" s="98">
        <v>318.48</v>
      </c>
      <c r="G33" s="96"/>
      <c r="H33" s="97"/>
      <c r="I33" s="97"/>
      <c r="J33" s="103">
        <f>SUM(J34:J43)</f>
        <v>337.09</v>
      </c>
      <c r="K33" s="103">
        <f t="shared" si="15"/>
        <v>18.61</v>
      </c>
      <c r="L33" s="259">
        <f>J33/J44</f>
        <v>0.0748</v>
      </c>
    </row>
    <row r="34" ht="18" customHeight="1" spans="1:12">
      <c r="A34" s="239">
        <v>1</v>
      </c>
      <c r="B34" s="99" t="s">
        <v>102</v>
      </c>
      <c r="C34" s="240"/>
      <c r="D34" s="240"/>
      <c r="E34" s="240"/>
      <c r="F34" s="93">
        <v>41.71</v>
      </c>
      <c r="G34" s="100"/>
      <c r="H34" s="101"/>
      <c r="I34" s="86"/>
      <c r="J34" s="93">
        <f>1500*3%+(J45-1500)*1%</f>
        <v>75.09</v>
      </c>
      <c r="K34" s="93">
        <f t="shared" si="15"/>
        <v>33.38</v>
      </c>
      <c r="L34" s="256" t="s">
        <v>103</v>
      </c>
    </row>
    <row r="35" ht="18" customHeight="1" spans="1:12">
      <c r="A35" s="239">
        <v>2</v>
      </c>
      <c r="B35" s="99" t="s">
        <v>104</v>
      </c>
      <c r="C35" s="240"/>
      <c r="D35" s="240"/>
      <c r="E35" s="240"/>
      <c r="F35" s="93"/>
      <c r="G35" s="100"/>
      <c r="H35" s="101"/>
      <c r="I35" s="86"/>
      <c r="J35" s="93"/>
      <c r="K35" s="83"/>
      <c r="L35" s="256"/>
    </row>
    <row r="36" s="63" customFormat="1" ht="18" customHeight="1" spans="1:12">
      <c r="A36" s="76" t="s">
        <v>43</v>
      </c>
      <c r="B36" s="148" t="s">
        <v>105</v>
      </c>
      <c r="C36" s="240"/>
      <c r="D36" s="240"/>
      <c r="E36" s="240"/>
      <c r="F36" s="93">
        <v>92.79</v>
      </c>
      <c r="G36" s="70"/>
      <c r="H36" s="71"/>
      <c r="I36" s="71"/>
      <c r="J36" s="93">
        <f>(78.1+(J5-3000)*(42.7/2000))*0.9*0.85</f>
        <v>78.88</v>
      </c>
      <c r="K36" s="93">
        <f>J36-F36</f>
        <v>-13.91</v>
      </c>
      <c r="L36" s="256" t="s">
        <v>106</v>
      </c>
    </row>
    <row r="37" s="63" customFormat="1" ht="18" customHeight="1" spans="1:12">
      <c r="A37" s="76" t="s">
        <v>46</v>
      </c>
      <c r="B37" s="148" t="s">
        <v>107</v>
      </c>
      <c r="C37" s="240"/>
      <c r="D37" s="240"/>
      <c r="E37" s="240"/>
      <c r="F37" s="93"/>
      <c r="G37" s="70"/>
      <c r="H37" s="71"/>
      <c r="I37" s="71"/>
      <c r="J37" s="93">
        <f>6.8+(J45-1000)*0.6%</f>
        <v>27.85</v>
      </c>
      <c r="K37" s="93">
        <f>J37-F37</f>
        <v>27.85</v>
      </c>
      <c r="L37" s="261" t="s">
        <v>108</v>
      </c>
    </row>
    <row r="38" ht="18" customHeight="1" spans="1:12">
      <c r="A38" s="239">
        <v>3</v>
      </c>
      <c r="B38" s="99" t="s">
        <v>109</v>
      </c>
      <c r="C38" s="240"/>
      <c r="D38" s="241"/>
      <c r="E38" s="241"/>
      <c r="F38" s="93">
        <v>15.94</v>
      </c>
      <c r="G38" s="86"/>
      <c r="H38" s="101"/>
      <c r="I38" s="86"/>
      <c r="J38" s="93">
        <f>8.8+(J5-3000)*0.26%</f>
        <v>11.85</v>
      </c>
      <c r="K38" s="93">
        <f>J38-F38</f>
        <v>-4.09</v>
      </c>
      <c r="L38" s="262"/>
    </row>
    <row r="39" ht="18" customHeight="1" spans="1:12">
      <c r="A39" s="239" t="s">
        <v>80</v>
      </c>
      <c r="B39" s="99" t="s">
        <v>110</v>
      </c>
      <c r="C39" s="240"/>
      <c r="D39" s="241"/>
      <c r="E39" s="241"/>
      <c r="F39" s="93">
        <v>12.38</v>
      </c>
      <c r="G39" s="86"/>
      <c r="H39" s="101"/>
      <c r="I39" s="86"/>
      <c r="J39" s="93">
        <f>9.22+(J5-3000)*0.27%</f>
        <v>12.38</v>
      </c>
      <c r="K39" s="93">
        <f>J39-F39</f>
        <v>0</v>
      </c>
      <c r="L39" s="262" t="s">
        <v>111</v>
      </c>
    </row>
    <row r="40" ht="18" customHeight="1" spans="1:12">
      <c r="A40" s="239" t="s">
        <v>83</v>
      </c>
      <c r="B40" s="99" t="s">
        <v>112</v>
      </c>
      <c r="C40" s="240"/>
      <c r="D40" s="241"/>
      <c r="E40" s="241"/>
      <c r="F40" s="93"/>
      <c r="G40" s="86"/>
      <c r="H40" s="101"/>
      <c r="I40" s="86"/>
      <c r="J40" s="93"/>
      <c r="K40" s="83"/>
      <c r="L40" s="262"/>
    </row>
    <row r="41" ht="18" customHeight="1" spans="1:12">
      <c r="A41" s="76" t="s">
        <v>43</v>
      </c>
      <c r="B41" s="148" t="s">
        <v>113</v>
      </c>
      <c r="C41" s="240"/>
      <c r="D41" s="240"/>
      <c r="E41" s="240"/>
      <c r="F41" s="93">
        <v>33.37</v>
      </c>
      <c r="G41" s="86"/>
      <c r="H41" s="101"/>
      <c r="I41" s="86"/>
      <c r="J41" s="93">
        <f>2000*1%+(J5-2000)*0.5%</f>
        <v>30.86</v>
      </c>
      <c r="K41" s="93">
        <f>J41-F41</f>
        <v>-2.51</v>
      </c>
      <c r="L41" s="262" t="s">
        <v>114</v>
      </c>
    </row>
    <row r="42" ht="18" customHeight="1" spans="1:12">
      <c r="A42" s="76" t="s">
        <v>46</v>
      </c>
      <c r="B42" s="148" t="s">
        <v>115</v>
      </c>
      <c r="C42" s="240"/>
      <c r="D42" s="240"/>
      <c r="E42" s="240"/>
      <c r="F42" s="93">
        <v>122.3</v>
      </c>
      <c r="G42" s="86"/>
      <c r="H42" s="101"/>
      <c r="I42" s="86"/>
      <c r="J42" s="93">
        <f>(103.8+(J5-3000)*3.005%)*0.8*0.85</f>
        <v>94.52</v>
      </c>
      <c r="K42" s="93">
        <f>J42-F42</f>
        <v>-27.78</v>
      </c>
      <c r="L42" s="262" t="s">
        <v>116</v>
      </c>
    </row>
    <row r="43" ht="18" customHeight="1" spans="1:12">
      <c r="A43" s="239" t="s">
        <v>85</v>
      </c>
      <c r="B43" s="99" t="s">
        <v>117</v>
      </c>
      <c r="C43" s="240"/>
      <c r="D43" s="240"/>
      <c r="E43" s="240"/>
      <c r="F43" s="93"/>
      <c r="G43" s="86"/>
      <c r="H43" s="101"/>
      <c r="I43" s="86"/>
      <c r="J43" s="93">
        <f>3.3+(J45-2000)*0.094%</f>
        <v>5.66</v>
      </c>
      <c r="K43" s="93">
        <f>J43-F43</f>
        <v>5.66</v>
      </c>
      <c r="L43" s="263" t="s">
        <v>118</v>
      </c>
    </row>
    <row r="44" s="63" customFormat="1" ht="18" customHeight="1" spans="1:12">
      <c r="A44" s="94" t="s">
        <v>119</v>
      </c>
      <c r="B44" s="95" t="s">
        <v>120</v>
      </c>
      <c r="C44" s="102" t="s">
        <v>36</v>
      </c>
      <c r="D44" s="103">
        <v>3725.54</v>
      </c>
      <c r="E44" s="103">
        <f>F44*10000/D44</f>
        <v>12049.77</v>
      </c>
      <c r="F44" s="98">
        <f>F5+F33</f>
        <v>4489.19</v>
      </c>
      <c r="G44" s="96" t="s">
        <v>36</v>
      </c>
      <c r="H44" s="98">
        <v>3725.54</v>
      </c>
      <c r="I44" s="98">
        <f>J44/H44*10000</f>
        <v>12101.66</v>
      </c>
      <c r="J44" s="98">
        <f>J5+J33</f>
        <v>4508.52</v>
      </c>
      <c r="K44" s="98">
        <f>J44-F44</f>
        <v>19.33</v>
      </c>
      <c r="L44" s="246"/>
    </row>
    <row r="45" customHeight="1" spans="9:10">
      <c r="I45" s="265" t="s">
        <v>121</v>
      </c>
      <c r="J45" s="266">
        <v>4508.52</v>
      </c>
    </row>
    <row r="46" customHeight="1" spans="12:12">
      <c r="L46" s="317">
        <f>K44/F44</f>
        <v>0.0043</v>
      </c>
    </row>
    <row r="48" customHeight="1" spans="10:10">
      <c r="J48" s="149"/>
    </row>
  </sheetData>
  <mergeCells count="8">
    <mergeCell ref="A1:L1"/>
    <mergeCell ref="A2:L2"/>
    <mergeCell ref="C3:F3"/>
    <mergeCell ref="G3:J3"/>
    <mergeCell ref="A3:A4"/>
    <mergeCell ref="B3:B4"/>
    <mergeCell ref="K3:K4"/>
    <mergeCell ref="L3:L4"/>
  </mergeCells>
  <printOptions horizontalCentered="1"/>
  <pageMargins left="0.590277777777778" right="0.590277777777778" top="0.590277777777778" bottom="0.786805555555556" header="0.313888888888889" footer="0.590277777777778"/>
  <pageSetup paperSize="9" scale="70" fitToHeight="0" orientation="landscape"/>
  <headerFooter>
    <oddFooter>&amp;C&amp;10&amp;P/&amp;N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L53"/>
  <sheetViews>
    <sheetView zoomScale="85" zoomScaleNormal="85" workbookViewId="0">
      <pane ySplit="4" topLeftCell="A5" activePane="bottomLeft" state="frozen"/>
      <selection/>
      <selection pane="bottomLeft" activeCell="L44" sqref="L44"/>
    </sheetView>
  </sheetViews>
  <sheetFormatPr defaultColWidth="8.875" defaultRowHeight="20.1" customHeight="1"/>
  <cols>
    <col min="1" max="1" width="5.125" style="273" customWidth="1"/>
    <col min="2" max="2" width="26.625" style="274" customWidth="1"/>
    <col min="3" max="3" width="6.5" style="275" customWidth="1"/>
    <col min="4" max="4" width="10.625" style="275" customWidth="1"/>
    <col min="5" max="6" width="12.625" style="275" customWidth="1"/>
    <col min="7" max="7" width="5.375" style="276" customWidth="1"/>
    <col min="8" max="8" width="10.125" style="275" customWidth="1"/>
    <col min="9" max="9" width="11.5" style="276" customWidth="1"/>
    <col min="10" max="10" width="10.125" style="276" customWidth="1"/>
    <col min="11" max="11" width="10.125" style="277" customWidth="1"/>
    <col min="12" max="12" width="38.5" style="274" customWidth="1"/>
    <col min="13" max="13" width="21.875" style="275" customWidth="1"/>
    <col min="14" max="16384" width="8.875" style="275"/>
  </cols>
  <sheetData>
    <row r="1" s="271" customFormat="1" ht="20.85" customHeight="1" spans="1:12">
      <c r="A1" s="278" t="s">
        <v>19</v>
      </c>
      <c r="B1" s="279"/>
      <c r="C1" s="278"/>
      <c r="D1" s="280"/>
      <c r="E1" s="280"/>
      <c r="F1" s="280"/>
      <c r="G1" s="278"/>
      <c r="H1" s="278"/>
      <c r="I1" s="278"/>
      <c r="J1" s="280"/>
      <c r="K1" s="297"/>
      <c r="L1" s="279"/>
    </row>
    <row r="2" s="271" customFormat="1" ht="20.85" customHeight="1" spans="1:12">
      <c r="A2" s="112" t="s">
        <v>23</v>
      </c>
      <c r="B2" s="113"/>
      <c r="C2" s="112"/>
      <c r="D2" s="114"/>
      <c r="E2" s="114"/>
      <c r="F2" s="114"/>
      <c r="G2" s="112"/>
      <c r="H2" s="112"/>
      <c r="I2" s="112"/>
      <c r="J2" s="114"/>
      <c r="K2" s="242"/>
      <c r="L2" s="113"/>
    </row>
    <row r="3" ht="18" customHeight="1" spans="1:12">
      <c r="A3" s="115" t="s">
        <v>1</v>
      </c>
      <c r="B3" s="96" t="s">
        <v>2</v>
      </c>
      <c r="C3" s="230" t="s">
        <v>24</v>
      </c>
      <c r="D3" s="231"/>
      <c r="E3" s="231"/>
      <c r="F3" s="232"/>
      <c r="G3" s="230" t="s">
        <v>25</v>
      </c>
      <c r="H3" s="231"/>
      <c r="I3" s="231"/>
      <c r="J3" s="232"/>
      <c r="K3" s="243" t="s">
        <v>26</v>
      </c>
      <c r="L3" s="244" t="s">
        <v>27</v>
      </c>
    </row>
    <row r="4" ht="27.4" customHeight="1" spans="1:12">
      <c r="A4" s="115"/>
      <c r="B4" s="96"/>
      <c r="C4" s="96" t="s">
        <v>28</v>
      </c>
      <c r="D4" s="97" t="s">
        <v>29</v>
      </c>
      <c r="E4" s="116" t="s">
        <v>30</v>
      </c>
      <c r="F4" s="116" t="s">
        <v>31</v>
      </c>
      <c r="G4" s="97" t="s">
        <v>28</v>
      </c>
      <c r="H4" s="97" t="s">
        <v>29</v>
      </c>
      <c r="I4" s="116" t="s">
        <v>30</v>
      </c>
      <c r="J4" s="116" t="s">
        <v>31</v>
      </c>
      <c r="K4" s="245"/>
      <c r="L4" s="96"/>
    </row>
    <row r="5" s="272" customFormat="1" ht="18" customHeight="1" spans="1:12">
      <c r="A5" s="94" t="s">
        <v>32</v>
      </c>
      <c r="B5" s="95" t="s">
        <v>33</v>
      </c>
      <c r="C5" s="102"/>
      <c r="D5" s="233"/>
      <c r="E5" s="103"/>
      <c r="F5" s="281">
        <v>3813.82</v>
      </c>
      <c r="G5" s="282"/>
      <c r="H5" s="283"/>
      <c r="I5" s="283"/>
      <c r="J5" s="281">
        <f>J6+J9+J35+J39</f>
        <v>3809.82</v>
      </c>
      <c r="K5" s="311">
        <f>J5-F5</f>
        <v>-4</v>
      </c>
      <c r="L5" s="298"/>
    </row>
    <row r="6" s="272" customFormat="1" ht="18" customHeight="1" outlineLevel="1" spans="1:12">
      <c r="A6" s="73" t="s">
        <v>34</v>
      </c>
      <c r="B6" s="74" t="s">
        <v>35</v>
      </c>
      <c r="C6" s="234"/>
      <c r="D6" s="235"/>
      <c r="E6" s="219"/>
      <c r="F6" s="284">
        <v>330.32</v>
      </c>
      <c r="G6" s="285"/>
      <c r="H6" s="286"/>
      <c r="I6" s="286"/>
      <c r="J6" s="284">
        <f>SUM(J7:J8)</f>
        <v>330.32</v>
      </c>
      <c r="K6" s="312">
        <f t="shared" ref="K6:K11" si="0">J6-F6</f>
        <v>0</v>
      </c>
      <c r="L6" s="299"/>
    </row>
    <row r="7" ht="18" customHeight="1" outlineLevel="2" spans="1:12">
      <c r="A7" s="76">
        <v>1</v>
      </c>
      <c r="B7" s="77" t="s">
        <v>122</v>
      </c>
      <c r="C7" s="78" t="s">
        <v>36</v>
      </c>
      <c r="D7" s="79">
        <v>6383</v>
      </c>
      <c r="E7" s="79">
        <v>165</v>
      </c>
      <c r="F7" s="287">
        <v>105.32</v>
      </c>
      <c r="G7" s="78" t="s">
        <v>36</v>
      </c>
      <c r="H7" s="79">
        <v>6383</v>
      </c>
      <c r="I7" s="79">
        <v>165</v>
      </c>
      <c r="J7" s="79">
        <f>H7*I7/10000</f>
        <v>105.32</v>
      </c>
      <c r="K7" s="313">
        <f t="shared" si="0"/>
        <v>0</v>
      </c>
      <c r="L7" s="300"/>
    </row>
    <row r="8" ht="18" customHeight="1" outlineLevel="2" spans="1:12">
      <c r="A8" s="76">
        <v>2</v>
      </c>
      <c r="B8" s="77" t="s">
        <v>123</v>
      </c>
      <c r="C8" s="78" t="s">
        <v>36</v>
      </c>
      <c r="D8" s="79">
        <v>4500</v>
      </c>
      <c r="E8" s="79">
        <v>500</v>
      </c>
      <c r="F8" s="287">
        <v>225</v>
      </c>
      <c r="G8" s="78" t="s">
        <v>36</v>
      </c>
      <c r="H8" s="79">
        <v>4500</v>
      </c>
      <c r="I8" s="79">
        <v>500</v>
      </c>
      <c r="J8" s="79">
        <f>H8*I8/10000</f>
        <v>225</v>
      </c>
      <c r="K8" s="313">
        <f t="shared" si="0"/>
        <v>0</v>
      </c>
      <c r="L8" s="300"/>
    </row>
    <row r="9" ht="18" customHeight="1" outlineLevel="1" spans="1:12">
      <c r="A9" s="73" t="s">
        <v>37</v>
      </c>
      <c r="B9" s="74" t="s">
        <v>38</v>
      </c>
      <c r="C9" s="288"/>
      <c r="D9" s="289"/>
      <c r="E9" s="219"/>
      <c r="F9" s="284">
        <v>3218.02</v>
      </c>
      <c r="G9" s="82"/>
      <c r="H9" s="290"/>
      <c r="I9" s="290"/>
      <c r="J9" s="284">
        <f>SUM(J10:J34)</f>
        <v>3214.02</v>
      </c>
      <c r="K9" s="312">
        <f t="shared" si="0"/>
        <v>-4</v>
      </c>
      <c r="L9" s="268"/>
    </row>
    <row r="10" ht="18" customHeight="1" outlineLevel="2" spans="1:12">
      <c r="A10" s="76">
        <v>1</v>
      </c>
      <c r="B10" s="77" t="s">
        <v>124</v>
      </c>
      <c r="C10" s="78" t="s">
        <v>41</v>
      </c>
      <c r="D10" s="84">
        <v>2</v>
      </c>
      <c r="E10" s="79">
        <v>98380.32</v>
      </c>
      <c r="F10" s="287">
        <v>19.68</v>
      </c>
      <c r="G10" s="78" t="s">
        <v>41</v>
      </c>
      <c r="H10" s="84">
        <v>2</v>
      </c>
      <c r="I10" s="79">
        <v>98380.32</v>
      </c>
      <c r="J10" s="79">
        <f>H10*I10/10000</f>
        <v>19.68</v>
      </c>
      <c r="K10" s="313">
        <f t="shared" si="0"/>
        <v>0</v>
      </c>
      <c r="L10" s="251" t="s">
        <v>125</v>
      </c>
    </row>
    <row r="11" ht="18" customHeight="1" outlineLevel="2" spans="1:12">
      <c r="A11" s="76">
        <v>2</v>
      </c>
      <c r="B11" s="77" t="s">
        <v>126</v>
      </c>
      <c r="C11" s="78" t="s">
        <v>41</v>
      </c>
      <c r="D11" s="84">
        <v>9</v>
      </c>
      <c r="E11" s="79">
        <v>141255.5</v>
      </c>
      <c r="F11" s="287">
        <v>127.13</v>
      </c>
      <c r="G11" s="78" t="s">
        <v>41</v>
      </c>
      <c r="H11" s="84">
        <v>9</v>
      </c>
      <c r="I11" s="79">
        <v>141255.5</v>
      </c>
      <c r="J11" s="79">
        <f>H11*I11/10000</f>
        <v>127.13</v>
      </c>
      <c r="K11" s="313">
        <f t="shared" si="0"/>
        <v>0</v>
      </c>
      <c r="L11" s="251" t="s">
        <v>127</v>
      </c>
    </row>
    <row r="12" ht="18" customHeight="1" outlineLevel="2" spans="1:12">
      <c r="A12" s="76" t="s">
        <v>78</v>
      </c>
      <c r="B12" s="77" t="s">
        <v>128</v>
      </c>
      <c r="C12" s="78"/>
      <c r="D12" s="84"/>
      <c r="E12" s="79"/>
      <c r="F12" s="287"/>
      <c r="G12" s="78"/>
      <c r="H12" s="79"/>
      <c r="I12" s="79"/>
      <c r="J12" s="79"/>
      <c r="K12" s="313"/>
      <c r="L12" s="300"/>
    </row>
    <row r="13" ht="18" customHeight="1" outlineLevel="2" spans="1:12">
      <c r="A13" s="76" t="s">
        <v>43</v>
      </c>
      <c r="B13" s="85" t="s">
        <v>129</v>
      </c>
      <c r="C13" s="78" t="s">
        <v>51</v>
      </c>
      <c r="D13" s="79">
        <v>6603</v>
      </c>
      <c r="E13" s="79">
        <v>1209.63</v>
      </c>
      <c r="F13" s="287">
        <v>798.72</v>
      </c>
      <c r="G13" s="78" t="s">
        <v>51</v>
      </c>
      <c r="H13" s="79">
        <v>6603</v>
      </c>
      <c r="I13" s="79">
        <v>1209.63</v>
      </c>
      <c r="J13" s="79">
        <f>H13*I13/10000</f>
        <v>798.72</v>
      </c>
      <c r="K13" s="313">
        <f>J13-F13</f>
        <v>0</v>
      </c>
      <c r="L13" s="300"/>
    </row>
    <row r="14" ht="18" customHeight="1" outlineLevel="2" spans="1:12">
      <c r="A14" s="76" t="s">
        <v>46</v>
      </c>
      <c r="B14" s="85" t="s">
        <v>130</v>
      </c>
      <c r="C14" s="78" t="s">
        <v>51</v>
      </c>
      <c r="D14" s="79">
        <v>3013</v>
      </c>
      <c r="E14" s="79">
        <v>974.8</v>
      </c>
      <c r="F14" s="287">
        <v>293.71</v>
      </c>
      <c r="G14" s="78" t="s">
        <v>51</v>
      </c>
      <c r="H14" s="79">
        <v>3013</v>
      </c>
      <c r="I14" s="79">
        <v>974.8</v>
      </c>
      <c r="J14" s="79">
        <f t="shared" ref="J14:J16" si="1">H14*I14/10000</f>
        <v>293.71</v>
      </c>
      <c r="K14" s="313">
        <f t="shared" ref="K14:K16" si="2">J14-F14</f>
        <v>0</v>
      </c>
      <c r="L14" s="300"/>
    </row>
    <row r="15" ht="18" customHeight="1" outlineLevel="2" spans="1:12">
      <c r="A15" s="76" t="s">
        <v>49</v>
      </c>
      <c r="B15" s="85" t="s">
        <v>131</v>
      </c>
      <c r="C15" s="78" t="s">
        <v>51</v>
      </c>
      <c r="D15" s="79">
        <v>31724</v>
      </c>
      <c r="E15" s="79">
        <v>344.96</v>
      </c>
      <c r="F15" s="287">
        <v>1094.35</v>
      </c>
      <c r="G15" s="78" t="s">
        <v>51</v>
      </c>
      <c r="H15" s="79">
        <v>31724</v>
      </c>
      <c r="I15" s="79">
        <v>344.96</v>
      </c>
      <c r="J15" s="79">
        <f t="shared" si="1"/>
        <v>1094.35</v>
      </c>
      <c r="K15" s="313">
        <f t="shared" si="2"/>
        <v>0</v>
      </c>
      <c r="L15" s="300"/>
    </row>
    <row r="16" ht="18" customHeight="1" outlineLevel="2" spans="1:12">
      <c r="A16" s="76" t="s">
        <v>62</v>
      </c>
      <c r="B16" s="85" t="s">
        <v>132</v>
      </c>
      <c r="C16" s="78" t="s">
        <v>51</v>
      </c>
      <c r="D16" s="79">
        <v>5616</v>
      </c>
      <c r="E16" s="79">
        <v>69.52</v>
      </c>
      <c r="F16" s="287">
        <v>39.04</v>
      </c>
      <c r="G16" s="78" t="s">
        <v>51</v>
      </c>
      <c r="H16" s="79">
        <v>5616</v>
      </c>
      <c r="I16" s="79">
        <v>69.52</v>
      </c>
      <c r="J16" s="79">
        <f t="shared" si="1"/>
        <v>39.04</v>
      </c>
      <c r="K16" s="313">
        <f t="shared" si="2"/>
        <v>0</v>
      </c>
      <c r="L16" s="300"/>
    </row>
    <row r="17" ht="18" customHeight="1" outlineLevel="2" spans="1:12">
      <c r="A17" s="76" t="s">
        <v>65</v>
      </c>
      <c r="B17" s="85" t="s">
        <v>133</v>
      </c>
      <c r="C17" s="78" t="s">
        <v>51</v>
      </c>
      <c r="D17" s="79">
        <v>205</v>
      </c>
      <c r="E17" s="79">
        <v>3193.73</v>
      </c>
      <c r="F17" s="287">
        <v>65.47</v>
      </c>
      <c r="G17" s="78" t="s">
        <v>51</v>
      </c>
      <c r="H17" s="79">
        <v>205</v>
      </c>
      <c r="I17" s="79">
        <v>3193.73</v>
      </c>
      <c r="J17" s="79">
        <f t="shared" ref="J17:J19" si="3">H17*I17/10000</f>
        <v>65.47</v>
      </c>
      <c r="K17" s="313">
        <f t="shared" ref="K17:K19" si="4">J17-F17</f>
        <v>0</v>
      </c>
      <c r="L17" s="251" t="s">
        <v>134</v>
      </c>
    </row>
    <row r="18" ht="18" customHeight="1" outlineLevel="2" spans="1:12">
      <c r="A18" s="76" t="s">
        <v>68</v>
      </c>
      <c r="B18" s="85" t="s">
        <v>135</v>
      </c>
      <c r="C18" s="78" t="s">
        <v>51</v>
      </c>
      <c r="D18" s="79">
        <v>75</v>
      </c>
      <c r="E18" s="79">
        <v>2792.07</v>
      </c>
      <c r="F18" s="287">
        <v>20.94</v>
      </c>
      <c r="G18" s="78" t="s">
        <v>51</v>
      </c>
      <c r="H18" s="79">
        <v>75</v>
      </c>
      <c r="I18" s="79">
        <v>2792.07</v>
      </c>
      <c r="J18" s="79">
        <f t="shared" si="3"/>
        <v>20.94</v>
      </c>
      <c r="K18" s="313">
        <f t="shared" si="4"/>
        <v>0</v>
      </c>
      <c r="L18" s="251" t="s">
        <v>134</v>
      </c>
    </row>
    <row r="19" ht="18" customHeight="1" outlineLevel="2" spans="1:12">
      <c r="A19" s="76" t="s">
        <v>136</v>
      </c>
      <c r="B19" s="85" t="s">
        <v>137</v>
      </c>
      <c r="C19" s="78" t="s">
        <v>51</v>
      </c>
      <c r="D19" s="79">
        <v>45</v>
      </c>
      <c r="E19" s="79">
        <v>1390.49</v>
      </c>
      <c r="F19" s="287">
        <v>6.26</v>
      </c>
      <c r="G19" s="78" t="s">
        <v>51</v>
      </c>
      <c r="H19" s="79">
        <v>45</v>
      </c>
      <c r="I19" s="79">
        <v>1390.49</v>
      </c>
      <c r="J19" s="79">
        <f t="shared" si="3"/>
        <v>6.26</v>
      </c>
      <c r="K19" s="313">
        <f t="shared" si="4"/>
        <v>0</v>
      </c>
      <c r="L19" s="251" t="s">
        <v>134</v>
      </c>
    </row>
    <row r="20" ht="18" customHeight="1" outlineLevel="2" spans="1:12">
      <c r="A20" s="76" t="s">
        <v>138</v>
      </c>
      <c r="B20" s="85" t="s">
        <v>139</v>
      </c>
      <c r="C20" s="78" t="s">
        <v>95</v>
      </c>
      <c r="D20" s="79">
        <v>1</v>
      </c>
      <c r="E20" s="79">
        <v>2318488.66</v>
      </c>
      <c r="F20" s="287">
        <v>231.85</v>
      </c>
      <c r="G20" s="78" t="s">
        <v>95</v>
      </c>
      <c r="H20" s="79">
        <v>1</v>
      </c>
      <c r="I20" s="79">
        <v>2318488.66</v>
      </c>
      <c r="J20" s="79">
        <f t="shared" ref="J20:J24" si="5">H20*I20/10000</f>
        <v>231.85</v>
      </c>
      <c r="K20" s="313">
        <f t="shared" ref="K20:K24" si="6">J20-F20</f>
        <v>0</v>
      </c>
      <c r="L20" s="300"/>
    </row>
    <row r="21" ht="18" customHeight="1" outlineLevel="2" spans="1:12">
      <c r="A21" s="76" t="s">
        <v>140</v>
      </c>
      <c r="B21" s="85" t="s">
        <v>141</v>
      </c>
      <c r="C21" s="78" t="s">
        <v>51</v>
      </c>
      <c r="D21" s="79">
        <v>2703</v>
      </c>
      <c r="E21" s="79">
        <v>332.33</v>
      </c>
      <c r="F21" s="287">
        <v>89.83</v>
      </c>
      <c r="G21" s="78" t="s">
        <v>51</v>
      </c>
      <c r="H21" s="79">
        <v>2703</v>
      </c>
      <c r="I21" s="79">
        <v>332.33</v>
      </c>
      <c r="J21" s="79">
        <f t="shared" si="5"/>
        <v>89.83</v>
      </c>
      <c r="K21" s="313">
        <f t="shared" si="6"/>
        <v>0</v>
      </c>
      <c r="L21" s="251" t="s">
        <v>142</v>
      </c>
    </row>
    <row r="22" ht="18" customHeight="1" outlineLevel="2" spans="1:12">
      <c r="A22" s="76" t="s">
        <v>143</v>
      </c>
      <c r="B22" s="85" t="s">
        <v>144</v>
      </c>
      <c r="C22" s="78" t="s">
        <v>60</v>
      </c>
      <c r="D22" s="84">
        <v>108</v>
      </c>
      <c r="E22" s="79">
        <v>286.22</v>
      </c>
      <c r="F22" s="287">
        <v>3.09</v>
      </c>
      <c r="G22" s="78" t="s">
        <v>60</v>
      </c>
      <c r="H22" s="84">
        <v>108</v>
      </c>
      <c r="I22" s="79">
        <v>286.22</v>
      </c>
      <c r="J22" s="79">
        <f t="shared" si="5"/>
        <v>3.09</v>
      </c>
      <c r="K22" s="313">
        <f t="shared" si="6"/>
        <v>0</v>
      </c>
      <c r="L22" s="300"/>
    </row>
    <row r="23" ht="18" customHeight="1" outlineLevel="2" spans="1:12">
      <c r="A23" s="76" t="s">
        <v>145</v>
      </c>
      <c r="B23" s="85" t="s">
        <v>146</v>
      </c>
      <c r="C23" s="78" t="s">
        <v>41</v>
      </c>
      <c r="D23" s="84">
        <v>1140</v>
      </c>
      <c r="E23" s="79">
        <v>286.22</v>
      </c>
      <c r="F23" s="287">
        <v>32.63</v>
      </c>
      <c r="G23" s="78" t="s">
        <v>41</v>
      </c>
      <c r="H23" s="84">
        <v>1140</v>
      </c>
      <c r="I23" s="79">
        <v>286.22</v>
      </c>
      <c r="J23" s="79">
        <f t="shared" si="5"/>
        <v>32.63</v>
      </c>
      <c r="K23" s="313">
        <f t="shared" si="6"/>
        <v>0</v>
      </c>
      <c r="L23" s="251" t="s">
        <v>147</v>
      </c>
    </row>
    <row r="24" ht="18" customHeight="1" outlineLevel="2" spans="1:12">
      <c r="A24" s="76" t="s">
        <v>148</v>
      </c>
      <c r="B24" s="85" t="s">
        <v>149</v>
      </c>
      <c r="C24" s="78" t="s">
        <v>41</v>
      </c>
      <c r="D24" s="84">
        <v>83</v>
      </c>
      <c r="E24" s="79">
        <v>18979.61</v>
      </c>
      <c r="F24" s="287">
        <v>157.53</v>
      </c>
      <c r="G24" s="78" t="s">
        <v>41</v>
      </c>
      <c r="H24" s="84">
        <v>83</v>
      </c>
      <c r="I24" s="79">
        <v>18979.61</v>
      </c>
      <c r="J24" s="79">
        <f t="shared" si="5"/>
        <v>157.53</v>
      </c>
      <c r="K24" s="313">
        <f t="shared" si="6"/>
        <v>0</v>
      </c>
      <c r="L24" s="251" t="s">
        <v>150</v>
      </c>
    </row>
    <row r="25" ht="18" customHeight="1" outlineLevel="2" spans="1:12">
      <c r="A25" s="76" t="s">
        <v>151</v>
      </c>
      <c r="B25" s="85" t="s">
        <v>152</v>
      </c>
      <c r="C25" s="78" t="s">
        <v>51</v>
      </c>
      <c r="D25" s="79">
        <v>60</v>
      </c>
      <c r="E25" s="79">
        <v>4445.93</v>
      </c>
      <c r="F25" s="287">
        <v>26.68</v>
      </c>
      <c r="G25" s="78" t="s">
        <v>51</v>
      </c>
      <c r="H25" s="79">
        <v>60</v>
      </c>
      <c r="I25" s="79">
        <v>4445.93</v>
      </c>
      <c r="J25" s="79">
        <f t="shared" ref="J25:J27" si="7">H25*I25/10000</f>
        <v>26.68</v>
      </c>
      <c r="K25" s="313">
        <f t="shared" ref="K25:K27" si="8">J25-F25</f>
        <v>0</v>
      </c>
      <c r="L25" s="300"/>
    </row>
    <row r="26" ht="18" customHeight="1" outlineLevel="2" spans="1:12">
      <c r="A26" s="76" t="s">
        <v>153</v>
      </c>
      <c r="B26" s="85" t="s">
        <v>154</v>
      </c>
      <c r="C26" s="78" t="s">
        <v>51</v>
      </c>
      <c r="D26" s="79">
        <v>90</v>
      </c>
      <c r="E26" s="79">
        <v>3295.21</v>
      </c>
      <c r="F26" s="287">
        <v>29.66</v>
      </c>
      <c r="G26" s="78" t="s">
        <v>51</v>
      </c>
      <c r="H26" s="79">
        <v>90</v>
      </c>
      <c r="I26" s="79">
        <v>3295.21</v>
      </c>
      <c r="J26" s="79">
        <f t="shared" si="7"/>
        <v>29.66</v>
      </c>
      <c r="K26" s="313">
        <f t="shared" si="8"/>
        <v>0</v>
      </c>
      <c r="L26" s="300"/>
    </row>
    <row r="27" ht="18" customHeight="1" outlineLevel="2" spans="1:12">
      <c r="A27" s="76" t="s">
        <v>155</v>
      </c>
      <c r="B27" s="85" t="s">
        <v>156</v>
      </c>
      <c r="C27" s="78" t="s">
        <v>51</v>
      </c>
      <c r="D27" s="79">
        <v>120</v>
      </c>
      <c r="E27" s="79">
        <v>1984.89</v>
      </c>
      <c r="F27" s="287">
        <v>23.82</v>
      </c>
      <c r="G27" s="78" t="s">
        <v>51</v>
      </c>
      <c r="H27" s="79">
        <v>120</v>
      </c>
      <c r="I27" s="79">
        <v>1984.89</v>
      </c>
      <c r="J27" s="79">
        <f t="shared" si="7"/>
        <v>23.82</v>
      </c>
      <c r="K27" s="313">
        <f t="shared" si="8"/>
        <v>0</v>
      </c>
      <c r="L27" s="300"/>
    </row>
    <row r="28" ht="18" customHeight="1" outlineLevel="2" spans="1:12">
      <c r="A28" s="76" t="s">
        <v>157</v>
      </c>
      <c r="B28" s="85" t="s">
        <v>158</v>
      </c>
      <c r="C28" s="78" t="s">
        <v>60</v>
      </c>
      <c r="D28" s="79">
        <v>5</v>
      </c>
      <c r="E28" s="79">
        <v>7474.71</v>
      </c>
      <c r="F28" s="287">
        <v>3.74</v>
      </c>
      <c r="G28" s="78" t="s">
        <v>60</v>
      </c>
      <c r="H28" s="79">
        <v>5</v>
      </c>
      <c r="I28" s="79">
        <v>7474.71</v>
      </c>
      <c r="J28" s="79">
        <f t="shared" ref="J28:J29" si="9">H28*I28/10000</f>
        <v>3.74</v>
      </c>
      <c r="K28" s="313">
        <f t="shared" ref="K28:K29" si="10">J28-F28</f>
        <v>0</v>
      </c>
      <c r="L28" s="251" t="s">
        <v>159</v>
      </c>
    </row>
    <row r="29" ht="18" customHeight="1" outlineLevel="2" spans="1:12">
      <c r="A29" s="76" t="s">
        <v>160</v>
      </c>
      <c r="B29" s="85" t="s">
        <v>161</v>
      </c>
      <c r="C29" s="78" t="s">
        <v>60</v>
      </c>
      <c r="D29" s="79">
        <v>7</v>
      </c>
      <c r="E29" s="79">
        <v>4563.54</v>
      </c>
      <c r="F29" s="287">
        <v>3.19</v>
      </c>
      <c r="G29" s="78" t="s">
        <v>60</v>
      </c>
      <c r="H29" s="79">
        <v>7</v>
      </c>
      <c r="I29" s="79">
        <v>4563.54</v>
      </c>
      <c r="J29" s="79">
        <f t="shared" si="9"/>
        <v>3.19</v>
      </c>
      <c r="K29" s="313">
        <f t="shared" si="10"/>
        <v>0</v>
      </c>
      <c r="L29" s="300"/>
    </row>
    <row r="30" ht="18" customHeight="1" outlineLevel="2" spans="1:12">
      <c r="A30" s="76" t="s">
        <v>80</v>
      </c>
      <c r="B30" s="77" t="s">
        <v>162</v>
      </c>
      <c r="C30" s="78"/>
      <c r="D30" s="79"/>
      <c r="E30" s="79"/>
      <c r="F30" s="287"/>
      <c r="G30" s="78"/>
      <c r="H30" s="79"/>
      <c r="I30" s="79"/>
      <c r="J30" s="79"/>
      <c r="K30" s="313"/>
      <c r="L30" s="300"/>
    </row>
    <row r="31" ht="18" customHeight="1" outlineLevel="2" spans="1:12">
      <c r="A31" s="76" t="s">
        <v>43</v>
      </c>
      <c r="B31" s="85" t="s">
        <v>163</v>
      </c>
      <c r="C31" s="78" t="s">
        <v>51</v>
      </c>
      <c r="D31" s="79">
        <v>4170</v>
      </c>
      <c r="E31" s="79">
        <v>332.33</v>
      </c>
      <c r="F31" s="287">
        <v>138.58</v>
      </c>
      <c r="G31" s="78" t="s">
        <v>51</v>
      </c>
      <c r="H31" s="79">
        <v>4170</v>
      </c>
      <c r="I31" s="79">
        <v>332.33</v>
      </c>
      <c r="J31" s="79">
        <f>H31*I31/10000</f>
        <v>138.58</v>
      </c>
      <c r="K31" s="313">
        <f t="shared" ref="K31:K36" si="11">J31-F31</f>
        <v>0</v>
      </c>
      <c r="L31" s="251" t="s">
        <v>142</v>
      </c>
    </row>
    <row r="32" ht="18" customHeight="1" outlineLevel="2" spans="1:12">
      <c r="A32" s="76" t="s">
        <v>46</v>
      </c>
      <c r="B32" s="85" t="s">
        <v>164</v>
      </c>
      <c r="C32" s="78" t="s">
        <v>60</v>
      </c>
      <c r="D32" s="79">
        <v>112</v>
      </c>
      <c r="E32" s="79">
        <v>378.37</v>
      </c>
      <c r="F32" s="287">
        <v>4.24</v>
      </c>
      <c r="G32" s="78" t="s">
        <v>60</v>
      </c>
      <c r="H32" s="79">
        <v>112</v>
      </c>
      <c r="I32" s="253">
        <v>230</v>
      </c>
      <c r="J32" s="79">
        <f>H32*I32/10000</f>
        <v>2.58</v>
      </c>
      <c r="K32" s="313">
        <f t="shared" si="11"/>
        <v>-1.66</v>
      </c>
      <c r="L32" s="314" t="s">
        <v>165</v>
      </c>
    </row>
    <row r="33" ht="18" customHeight="1" outlineLevel="2" spans="1:12">
      <c r="A33" s="76" t="s">
        <v>49</v>
      </c>
      <c r="B33" s="85" t="s">
        <v>166</v>
      </c>
      <c r="C33" s="78" t="s">
        <v>41</v>
      </c>
      <c r="D33" s="79">
        <v>2</v>
      </c>
      <c r="E33" s="79">
        <v>11207.38</v>
      </c>
      <c r="F33" s="287">
        <v>2.24</v>
      </c>
      <c r="G33" s="78" t="s">
        <v>41</v>
      </c>
      <c r="H33" s="79">
        <v>2</v>
      </c>
      <c r="I33" s="79">
        <v>11207.38</v>
      </c>
      <c r="J33" s="79">
        <f>H33*I33/10000</f>
        <v>2.24</v>
      </c>
      <c r="K33" s="313">
        <f t="shared" si="11"/>
        <v>0</v>
      </c>
      <c r="L33" s="251" t="s">
        <v>167</v>
      </c>
    </row>
    <row r="34" ht="18" customHeight="1" outlineLevel="2" spans="1:12">
      <c r="A34" s="76" t="s">
        <v>62</v>
      </c>
      <c r="B34" s="85" t="s">
        <v>168</v>
      </c>
      <c r="C34" s="78" t="s">
        <v>41</v>
      </c>
      <c r="D34" s="79">
        <v>11</v>
      </c>
      <c r="E34" s="79">
        <v>5124.3</v>
      </c>
      <c r="F34" s="287">
        <v>5.64</v>
      </c>
      <c r="G34" s="78" t="s">
        <v>41</v>
      </c>
      <c r="H34" s="79">
        <v>11</v>
      </c>
      <c r="I34" s="79">
        <v>3000</v>
      </c>
      <c r="J34" s="79">
        <f>H34*I34/10000</f>
        <v>3.3</v>
      </c>
      <c r="K34" s="313">
        <f t="shared" si="11"/>
        <v>-2.34</v>
      </c>
      <c r="L34" s="251" t="s">
        <v>169</v>
      </c>
    </row>
    <row r="35" ht="18" customHeight="1" outlineLevel="1" spans="1:12">
      <c r="A35" s="73" t="s">
        <v>71</v>
      </c>
      <c r="B35" s="74" t="s">
        <v>72</v>
      </c>
      <c r="C35" s="234"/>
      <c r="D35" s="84"/>
      <c r="E35" s="79"/>
      <c r="F35" s="284">
        <v>218.86</v>
      </c>
      <c r="G35" s="90"/>
      <c r="H35" s="291"/>
      <c r="I35" s="296"/>
      <c r="J35" s="284">
        <f>SUM(J36:J38)</f>
        <v>218.86</v>
      </c>
      <c r="K35" s="312">
        <f t="shared" si="11"/>
        <v>0</v>
      </c>
      <c r="L35" s="255"/>
    </row>
    <row r="36" ht="18" customHeight="1" outlineLevel="2" spans="1:12">
      <c r="A36" s="76">
        <v>1</v>
      </c>
      <c r="B36" s="77" t="s">
        <v>170</v>
      </c>
      <c r="C36" s="78" t="s">
        <v>74</v>
      </c>
      <c r="D36" s="79">
        <v>2844.8</v>
      </c>
      <c r="E36" s="79">
        <v>302.67</v>
      </c>
      <c r="F36" s="287">
        <v>86.1</v>
      </c>
      <c r="G36" s="78" t="s">
        <v>74</v>
      </c>
      <c r="H36" s="79">
        <v>2844.8</v>
      </c>
      <c r="I36" s="79">
        <v>302.67</v>
      </c>
      <c r="J36" s="79">
        <f>H36*I36/10000</f>
        <v>86.1</v>
      </c>
      <c r="K36" s="313">
        <f t="shared" si="11"/>
        <v>0</v>
      </c>
      <c r="L36" s="256" t="s">
        <v>171</v>
      </c>
    </row>
    <row r="37" ht="18" customHeight="1" outlineLevel="2" spans="1:12">
      <c r="A37" s="76">
        <v>2</v>
      </c>
      <c r="B37" s="77" t="s">
        <v>172</v>
      </c>
      <c r="C37" s="78" t="s">
        <v>74</v>
      </c>
      <c r="D37" s="79">
        <v>3590</v>
      </c>
      <c r="E37" s="79">
        <v>212.77</v>
      </c>
      <c r="F37" s="287">
        <v>76.38</v>
      </c>
      <c r="G37" s="78" t="s">
        <v>74</v>
      </c>
      <c r="H37" s="79">
        <v>3590</v>
      </c>
      <c r="I37" s="79">
        <v>212.77</v>
      </c>
      <c r="J37" s="79">
        <f t="shared" ref="J37:J38" si="12">H37*I37/10000</f>
        <v>76.38</v>
      </c>
      <c r="K37" s="313">
        <f t="shared" ref="K37:K38" si="13">J37-F37</f>
        <v>0</v>
      </c>
      <c r="L37" s="256"/>
    </row>
    <row r="38" ht="18" customHeight="1" outlineLevel="2" spans="1:12">
      <c r="A38" s="76">
        <v>3</v>
      </c>
      <c r="B38" s="77" t="s">
        <v>173</v>
      </c>
      <c r="C38" s="78" t="s">
        <v>74</v>
      </c>
      <c r="D38" s="79">
        <v>2650</v>
      </c>
      <c r="E38" s="79">
        <v>212.77</v>
      </c>
      <c r="F38" s="287">
        <v>56.38</v>
      </c>
      <c r="G38" s="78" t="s">
        <v>74</v>
      </c>
      <c r="H38" s="79">
        <v>2650</v>
      </c>
      <c r="I38" s="79">
        <v>212.77</v>
      </c>
      <c r="J38" s="79">
        <f t="shared" si="12"/>
        <v>56.38</v>
      </c>
      <c r="K38" s="313">
        <f t="shared" si="13"/>
        <v>0</v>
      </c>
      <c r="L38" s="256" t="s">
        <v>174</v>
      </c>
    </row>
    <row r="39" ht="18" customHeight="1" outlineLevel="1" spans="1:12">
      <c r="A39" s="73" t="s">
        <v>92</v>
      </c>
      <c r="B39" s="74" t="s">
        <v>175</v>
      </c>
      <c r="C39" s="234" t="s">
        <v>176</v>
      </c>
      <c r="D39" s="84">
        <v>1</v>
      </c>
      <c r="E39" s="79">
        <v>466200</v>
      </c>
      <c r="F39" s="284">
        <v>46.62</v>
      </c>
      <c r="G39" s="234"/>
      <c r="H39" s="84"/>
      <c r="I39" s="79"/>
      <c r="J39" s="315">
        <v>46.62</v>
      </c>
      <c r="K39" s="315">
        <f t="shared" ref="K39:K41" si="14">J39-F39</f>
        <v>0</v>
      </c>
      <c r="L39" s="316" t="s">
        <v>177</v>
      </c>
    </row>
    <row r="40" s="272" customFormat="1" ht="18" customHeight="1" spans="1:12">
      <c r="A40" s="94" t="s">
        <v>100</v>
      </c>
      <c r="B40" s="95" t="s">
        <v>101</v>
      </c>
      <c r="C40" s="102"/>
      <c r="D40" s="233"/>
      <c r="E40" s="103"/>
      <c r="F40" s="281">
        <v>360.96</v>
      </c>
      <c r="G40" s="282"/>
      <c r="H40" s="283"/>
      <c r="I40" s="283"/>
      <c r="J40" s="103">
        <f>SUM(J41:J49)</f>
        <v>265.92</v>
      </c>
      <c r="K40" s="103">
        <f t="shared" si="14"/>
        <v>-95.04</v>
      </c>
      <c r="L40" s="259">
        <f>J40/J50</f>
        <v>0.0652</v>
      </c>
    </row>
    <row r="41" ht="18" customHeight="1" spans="1:12">
      <c r="A41" s="239">
        <v>1</v>
      </c>
      <c r="B41" s="99" t="s">
        <v>102</v>
      </c>
      <c r="C41" s="292"/>
      <c r="D41" s="292"/>
      <c r="E41" s="240"/>
      <c r="F41" s="93">
        <v>68.14</v>
      </c>
      <c r="G41" s="100"/>
      <c r="H41" s="293"/>
      <c r="I41" s="296"/>
      <c r="J41" s="93">
        <v>35</v>
      </c>
      <c r="K41" s="213">
        <f t="shared" si="14"/>
        <v>-33.14</v>
      </c>
      <c r="L41" s="256" t="s">
        <v>103</v>
      </c>
    </row>
    <row r="42" ht="18" customHeight="1" spans="1:12">
      <c r="A42" s="239">
        <v>2</v>
      </c>
      <c r="B42" s="99" t="s">
        <v>104</v>
      </c>
      <c r="C42" s="292"/>
      <c r="D42" s="292"/>
      <c r="E42" s="240"/>
      <c r="F42" s="93"/>
      <c r="G42" s="100"/>
      <c r="H42" s="293"/>
      <c r="I42" s="296"/>
      <c r="J42" s="260"/>
      <c r="K42" s="238"/>
      <c r="L42" s="256"/>
    </row>
    <row r="43" s="272" customFormat="1" ht="18" customHeight="1" spans="1:12">
      <c r="A43" s="76" t="s">
        <v>43</v>
      </c>
      <c r="B43" s="148" t="s">
        <v>105</v>
      </c>
      <c r="C43" s="292"/>
      <c r="D43" s="292"/>
      <c r="E43" s="240"/>
      <c r="F43" s="93">
        <v>70.38</v>
      </c>
      <c r="G43" s="294"/>
      <c r="H43" s="286"/>
      <c r="I43" s="286"/>
      <c r="J43" s="93">
        <f>(78.1+(J5-3000)*(42.7/2000))*0.9*0.85</f>
        <v>72.97</v>
      </c>
      <c r="K43" s="213">
        <f>J43-F43</f>
        <v>2.59</v>
      </c>
      <c r="L43" s="256" t="s">
        <v>106</v>
      </c>
    </row>
    <row r="44" s="272" customFormat="1" ht="18" customHeight="1" spans="1:12">
      <c r="A44" s="76" t="s">
        <v>46</v>
      </c>
      <c r="B44" s="148" t="s">
        <v>107</v>
      </c>
      <c r="C44" s="292"/>
      <c r="D44" s="292"/>
      <c r="E44" s="240"/>
      <c r="F44" s="93">
        <v>25.09</v>
      </c>
      <c r="G44" s="294"/>
      <c r="H44" s="286"/>
      <c r="I44" s="286"/>
      <c r="J44" s="93">
        <f>6.8+(J51-1000)*0.6%</f>
        <v>25.56</v>
      </c>
      <c r="K44" s="213">
        <f>J44-F44</f>
        <v>0.47</v>
      </c>
      <c r="L44" s="261" t="s">
        <v>108</v>
      </c>
    </row>
    <row r="45" ht="18" customHeight="1" spans="1:12">
      <c r="A45" s="76" t="s">
        <v>78</v>
      </c>
      <c r="B45" s="99" t="s">
        <v>109</v>
      </c>
      <c r="C45" s="292"/>
      <c r="D45" s="295"/>
      <c r="E45" s="241"/>
      <c r="F45" s="93">
        <v>30.96</v>
      </c>
      <c r="G45" s="296"/>
      <c r="H45" s="293"/>
      <c r="I45" s="296"/>
      <c r="J45" s="93">
        <f>8.8+(J5-3000)*0.26%</f>
        <v>10.91</v>
      </c>
      <c r="K45" s="213">
        <f>J45-F45</f>
        <v>-20.05</v>
      </c>
      <c r="L45" s="262"/>
    </row>
    <row r="46" ht="18" customHeight="1" spans="1:12">
      <c r="A46" s="239" t="s">
        <v>80</v>
      </c>
      <c r="B46" s="99" t="s">
        <v>112</v>
      </c>
      <c r="C46" s="292"/>
      <c r="D46" s="295"/>
      <c r="E46" s="241"/>
      <c r="F46" s="93"/>
      <c r="G46" s="296"/>
      <c r="H46" s="293"/>
      <c r="I46" s="296"/>
      <c r="J46" s="296"/>
      <c r="K46" s="238"/>
      <c r="L46" s="262"/>
    </row>
    <row r="47" ht="18" customHeight="1" spans="1:12">
      <c r="A47" s="76" t="s">
        <v>43</v>
      </c>
      <c r="B47" s="148" t="s">
        <v>113</v>
      </c>
      <c r="C47" s="292"/>
      <c r="D47" s="292"/>
      <c r="E47" s="240"/>
      <c r="F47" s="93">
        <v>38.14</v>
      </c>
      <c r="G47" s="296"/>
      <c r="H47" s="293"/>
      <c r="I47" s="296"/>
      <c r="J47" s="93">
        <f>2000*1%+(J5-2000)*0.5%</f>
        <v>29.05</v>
      </c>
      <c r="K47" s="213">
        <f>J47-F47</f>
        <v>-9.09</v>
      </c>
      <c r="L47" s="262" t="s">
        <v>114</v>
      </c>
    </row>
    <row r="48" ht="18" customHeight="1" spans="1:12">
      <c r="A48" s="76" t="s">
        <v>46</v>
      </c>
      <c r="B48" s="148" t="s">
        <v>115</v>
      </c>
      <c r="C48" s="292"/>
      <c r="D48" s="292"/>
      <c r="E48" s="240"/>
      <c r="F48" s="93">
        <v>128.26</v>
      </c>
      <c r="G48" s="296"/>
      <c r="H48" s="293"/>
      <c r="I48" s="296"/>
      <c r="J48" s="93">
        <f>(103.8+(J5-3000)*3.005%)*0.8*0.85</f>
        <v>87.13</v>
      </c>
      <c r="K48" s="213">
        <f>J48-F48</f>
        <v>-41.13</v>
      </c>
      <c r="L48" s="262" t="s">
        <v>116</v>
      </c>
    </row>
    <row r="49" ht="18" customHeight="1" spans="1:12">
      <c r="A49" s="239" t="s">
        <v>85</v>
      </c>
      <c r="B49" s="99" t="s">
        <v>117</v>
      </c>
      <c r="C49" s="292"/>
      <c r="D49" s="292"/>
      <c r="E49" s="240"/>
      <c r="F49" s="93"/>
      <c r="G49" s="296"/>
      <c r="H49" s="293"/>
      <c r="I49" s="296"/>
      <c r="J49" s="93">
        <f>3.3+(J51-2000)*0.094%</f>
        <v>5.3</v>
      </c>
      <c r="K49" s="213">
        <f>J49-F49</f>
        <v>5.3</v>
      </c>
      <c r="L49" s="263" t="s">
        <v>118</v>
      </c>
    </row>
    <row r="50" s="272" customFormat="1" ht="18" customHeight="1" spans="1:12">
      <c r="A50" s="94" t="s">
        <v>119</v>
      </c>
      <c r="B50" s="95" t="s">
        <v>120</v>
      </c>
      <c r="C50" s="102" t="s">
        <v>36</v>
      </c>
      <c r="D50" s="103">
        <v>6383</v>
      </c>
      <c r="E50" s="103">
        <f>F50*10000/D50</f>
        <v>6540.47</v>
      </c>
      <c r="F50" s="281">
        <v>4174.78</v>
      </c>
      <c r="G50" s="282" t="s">
        <v>36</v>
      </c>
      <c r="H50" s="103">
        <v>6383</v>
      </c>
      <c r="I50" s="103">
        <f>J50/H50*10000</f>
        <v>6385.3</v>
      </c>
      <c r="J50" s="103">
        <f>J5+J40</f>
        <v>4075.74</v>
      </c>
      <c r="K50" s="103">
        <f>J50-F50</f>
        <v>-99.04</v>
      </c>
      <c r="L50" s="298"/>
    </row>
    <row r="51" customHeight="1" spans="9:10">
      <c r="I51" s="265" t="s">
        <v>121</v>
      </c>
      <c r="J51" s="266">
        <v>4126.51</v>
      </c>
    </row>
    <row r="52" customHeight="1" spans="12:12">
      <c r="L52" s="317">
        <f>K50/F50</f>
        <v>-0.0237</v>
      </c>
    </row>
    <row r="53" customHeight="1" spans="10:10">
      <c r="J53" s="302"/>
    </row>
  </sheetData>
  <mergeCells count="8">
    <mergeCell ref="A1:L1"/>
    <mergeCell ref="A2:L2"/>
    <mergeCell ref="C3:F3"/>
    <mergeCell ref="G3:J3"/>
    <mergeCell ref="A3:A4"/>
    <mergeCell ref="B3:B4"/>
    <mergeCell ref="K3:K4"/>
    <mergeCell ref="L3:L4"/>
  </mergeCells>
  <printOptions horizontalCentered="1"/>
  <pageMargins left="0.393055555555556" right="0.393055555555556" top="0.590277777777778" bottom="0.786805555555556" header="0.313888888888889" footer="0.590277777777778"/>
  <pageSetup paperSize="9" scale="78" fitToHeight="0" orientation="landscape"/>
  <headerFooter>
    <oddFooter>&amp;C&amp;10&amp;P/&amp;N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summaryRight="0"/>
    <pageSetUpPr fitToPage="1"/>
  </sheetPr>
  <dimension ref="A1:P54"/>
  <sheetViews>
    <sheetView zoomScale="85" zoomScaleNormal="85" workbookViewId="0">
      <pane ySplit="4" topLeftCell="A23" activePane="bottomLeft" state="frozen"/>
      <selection/>
      <selection pane="bottomLeft" activeCell="K50" sqref="K50"/>
    </sheetView>
  </sheetViews>
  <sheetFormatPr defaultColWidth="8.875" defaultRowHeight="20.1" customHeight="1"/>
  <cols>
    <col min="1" max="1" width="5.125" style="64" customWidth="1"/>
    <col min="2" max="2" width="26.625" style="65" customWidth="1"/>
    <col min="3" max="3" width="6.5" style="30" customWidth="1"/>
    <col min="4" max="4" width="10.625" style="30" customWidth="1"/>
    <col min="5" max="6" width="12.625" style="30" customWidth="1"/>
    <col min="7" max="7" width="5.375" style="66" customWidth="1"/>
    <col min="8" max="8" width="10.125" style="30" customWidth="1"/>
    <col min="9" max="9" width="12.625" style="66" customWidth="1"/>
    <col min="10" max="10" width="10.125" style="66" customWidth="1"/>
    <col min="11" max="11" width="10.125" style="228" customWidth="1"/>
    <col min="12" max="12" width="38.5" style="65" customWidth="1"/>
    <col min="13" max="13" width="20.75" style="30" customWidth="1"/>
    <col min="14" max="16384" width="8.875" style="30"/>
  </cols>
  <sheetData>
    <row r="1" s="62" customFormat="1" ht="20.85" customHeight="1" spans="1:12">
      <c r="A1" s="112" t="s">
        <v>20</v>
      </c>
      <c r="B1" s="113"/>
      <c r="C1" s="112"/>
      <c r="D1" s="114"/>
      <c r="E1" s="114"/>
      <c r="F1" s="114"/>
      <c r="G1" s="112"/>
      <c r="H1" s="112"/>
      <c r="I1" s="112"/>
      <c r="J1" s="114"/>
      <c r="K1" s="242"/>
      <c r="L1" s="113"/>
    </row>
    <row r="2" s="62" customFormat="1" ht="20.85" customHeight="1" spans="1:12">
      <c r="A2" s="112" t="s">
        <v>23</v>
      </c>
      <c r="B2" s="113"/>
      <c r="C2" s="112"/>
      <c r="D2" s="114"/>
      <c r="E2" s="114"/>
      <c r="F2" s="114"/>
      <c r="G2" s="112"/>
      <c r="H2" s="112"/>
      <c r="I2" s="112"/>
      <c r="J2" s="114"/>
      <c r="K2" s="242"/>
      <c r="L2" s="113"/>
    </row>
    <row r="3" ht="18" customHeight="1" spans="1:12">
      <c r="A3" s="115" t="s">
        <v>1</v>
      </c>
      <c r="B3" s="96" t="s">
        <v>2</v>
      </c>
      <c r="C3" s="230" t="s">
        <v>24</v>
      </c>
      <c r="D3" s="231"/>
      <c r="E3" s="231"/>
      <c r="F3" s="232"/>
      <c r="G3" s="230" t="s">
        <v>25</v>
      </c>
      <c r="H3" s="231"/>
      <c r="I3" s="231"/>
      <c r="J3" s="232"/>
      <c r="K3" s="243" t="s">
        <v>26</v>
      </c>
      <c r="L3" s="244" t="s">
        <v>27</v>
      </c>
    </row>
    <row r="4" ht="27.4" customHeight="1" spans="1:12">
      <c r="A4" s="115"/>
      <c r="B4" s="96"/>
      <c r="C4" s="96" t="s">
        <v>28</v>
      </c>
      <c r="D4" s="97" t="s">
        <v>29</v>
      </c>
      <c r="E4" s="116" t="s">
        <v>30</v>
      </c>
      <c r="F4" s="116" t="s">
        <v>31</v>
      </c>
      <c r="G4" s="97" t="s">
        <v>28</v>
      </c>
      <c r="H4" s="97" t="s">
        <v>29</v>
      </c>
      <c r="I4" s="116" t="s">
        <v>30</v>
      </c>
      <c r="J4" s="116" t="s">
        <v>31</v>
      </c>
      <c r="K4" s="245"/>
      <c r="L4" s="96"/>
    </row>
    <row r="5" s="63" customFormat="1" ht="18" customHeight="1" spans="1:12">
      <c r="A5" s="94" t="s">
        <v>32</v>
      </c>
      <c r="B5" s="95" t="s">
        <v>33</v>
      </c>
      <c r="C5" s="102"/>
      <c r="D5" s="233"/>
      <c r="E5" s="103"/>
      <c r="F5" s="98">
        <v>3810.89</v>
      </c>
      <c r="G5" s="96"/>
      <c r="H5" s="97"/>
      <c r="I5" s="97"/>
      <c r="J5" s="98">
        <f>J6+J8+J28+J32+J35</f>
        <v>2643.77</v>
      </c>
      <c r="K5" s="98">
        <f t="shared" ref="K5:K16" si="0">J5-F5</f>
        <v>-1167.12</v>
      </c>
      <c r="L5" s="246"/>
    </row>
    <row r="6" s="63" customFormat="1" ht="18" customHeight="1" outlineLevel="1" spans="1:12">
      <c r="A6" s="73" t="s">
        <v>34</v>
      </c>
      <c r="B6" s="74" t="s">
        <v>35</v>
      </c>
      <c r="C6" s="234"/>
      <c r="D6" s="235"/>
      <c r="E6" s="219"/>
      <c r="F6" s="75">
        <v>153.95</v>
      </c>
      <c r="G6" s="70"/>
      <c r="H6" s="71"/>
      <c r="I6" s="71"/>
      <c r="J6" s="75">
        <f>SUM(J7)</f>
        <v>153.95</v>
      </c>
      <c r="K6" s="75">
        <f t="shared" si="0"/>
        <v>0</v>
      </c>
      <c r="L6" s="248"/>
    </row>
    <row r="7" s="63" customFormat="1" ht="18" customHeight="1" outlineLevel="2" spans="1:13">
      <c r="A7" s="76"/>
      <c r="B7" s="77" t="s">
        <v>123</v>
      </c>
      <c r="C7" s="78" t="s">
        <v>178</v>
      </c>
      <c r="D7" s="79">
        <v>104871.91</v>
      </c>
      <c r="E7" s="79">
        <v>14.68</v>
      </c>
      <c r="F7" s="80">
        <v>153.95</v>
      </c>
      <c r="G7" s="303" t="s">
        <v>179</v>
      </c>
      <c r="H7" s="253">
        <v>104871.91</v>
      </c>
      <c r="I7" s="253">
        <v>14.68</v>
      </c>
      <c r="J7" s="253">
        <f>H7*I7/10000</f>
        <v>153.95</v>
      </c>
      <c r="K7" s="307">
        <f t="shared" si="0"/>
        <v>0</v>
      </c>
      <c r="L7" s="308" t="s">
        <v>180</v>
      </c>
      <c r="M7" s="30"/>
    </row>
    <row r="8" ht="18" customHeight="1" outlineLevel="1" spans="1:12">
      <c r="A8" s="73" t="s">
        <v>37</v>
      </c>
      <c r="B8" s="74" t="s">
        <v>38</v>
      </c>
      <c r="C8" s="234"/>
      <c r="D8" s="84"/>
      <c r="E8" s="219"/>
      <c r="F8" s="75">
        <v>2118.81</v>
      </c>
      <c r="G8" s="82"/>
      <c r="H8" s="83"/>
      <c r="I8" s="79"/>
      <c r="J8" s="75">
        <f>J9+J10+J14+J24</f>
        <v>1952.24</v>
      </c>
      <c r="K8" s="75">
        <f t="shared" si="0"/>
        <v>-166.57</v>
      </c>
      <c r="L8" s="250"/>
    </row>
    <row r="9" ht="18" customHeight="1" outlineLevel="2" spans="1:15">
      <c r="A9" s="76">
        <v>1</v>
      </c>
      <c r="B9" s="77" t="s">
        <v>181</v>
      </c>
      <c r="C9" s="78" t="s">
        <v>41</v>
      </c>
      <c r="D9" s="84">
        <v>5</v>
      </c>
      <c r="E9" s="79">
        <v>77630</v>
      </c>
      <c r="F9" s="80">
        <v>38.82</v>
      </c>
      <c r="G9" s="78" t="s">
        <v>41</v>
      </c>
      <c r="H9" s="84">
        <v>5</v>
      </c>
      <c r="I9" s="79">
        <v>77630</v>
      </c>
      <c r="J9" s="79">
        <f>H9*I9/10000</f>
        <v>38.82</v>
      </c>
      <c r="K9" s="80">
        <f t="shared" si="0"/>
        <v>0</v>
      </c>
      <c r="L9" s="251" t="s">
        <v>182</v>
      </c>
      <c r="N9" s="309"/>
      <c r="O9" s="309"/>
    </row>
    <row r="10" ht="18" customHeight="1" outlineLevel="2" spans="1:15">
      <c r="A10" s="76">
        <v>2</v>
      </c>
      <c r="B10" s="77" t="s">
        <v>183</v>
      </c>
      <c r="C10" s="78" t="s">
        <v>41</v>
      </c>
      <c r="D10" s="84">
        <v>1</v>
      </c>
      <c r="E10" s="79"/>
      <c r="F10" s="80">
        <v>54.17</v>
      </c>
      <c r="G10" s="78" t="s">
        <v>41</v>
      </c>
      <c r="H10" s="84">
        <v>1</v>
      </c>
      <c r="I10" s="79"/>
      <c r="J10" s="79">
        <f>SUM(J11:J13)</f>
        <v>52.24</v>
      </c>
      <c r="K10" s="80">
        <f t="shared" si="0"/>
        <v>-1.93</v>
      </c>
      <c r="L10" s="251" t="s">
        <v>184</v>
      </c>
      <c r="M10" s="228"/>
      <c r="N10" s="309"/>
      <c r="O10" s="309"/>
    </row>
    <row r="11" ht="18" customHeight="1" outlineLevel="2" spans="1:15">
      <c r="A11" s="76" t="s">
        <v>43</v>
      </c>
      <c r="B11" s="87" t="s">
        <v>44</v>
      </c>
      <c r="C11" s="78" t="s">
        <v>41</v>
      </c>
      <c r="D11" s="84">
        <v>1</v>
      </c>
      <c r="E11" s="79">
        <v>369240.97</v>
      </c>
      <c r="F11" s="236">
        <v>36.92</v>
      </c>
      <c r="G11" s="78" t="s">
        <v>41</v>
      </c>
      <c r="H11" s="84">
        <v>1</v>
      </c>
      <c r="I11" s="253">
        <v>350000</v>
      </c>
      <c r="J11" s="79">
        <f>H11*I11/10000</f>
        <v>35</v>
      </c>
      <c r="K11" s="80">
        <f t="shared" si="0"/>
        <v>-1.92</v>
      </c>
      <c r="L11" s="251" t="s">
        <v>185</v>
      </c>
      <c r="N11" s="309"/>
      <c r="O11" s="309"/>
    </row>
    <row r="12" ht="18" customHeight="1" outlineLevel="2" spans="1:15">
      <c r="A12" s="76" t="s">
        <v>46</v>
      </c>
      <c r="B12" s="87" t="s">
        <v>47</v>
      </c>
      <c r="C12" s="78" t="s">
        <v>41</v>
      </c>
      <c r="D12" s="84">
        <v>1</v>
      </c>
      <c r="E12" s="79">
        <v>97421.47</v>
      </c>
      <c r="F12" s="236">
        <v>9.74</v>
      </c>
      <c r="G12" s="78" t="s">
        <v>41</v>
      </c>
      <c r="H12" s="84">
        <v>1</v>
      </c>
      <c r="I12" s="79">
        <v>97421.47</v>
      </c>
      <c r="J12" s="79">
        <f>H12*I12/10000</f>
        <v>9.74</v>
      </c>
      <c r="K12" s="80">
        <f t="shared" si="0"/>
        <v>0</v>
      </c>
      <c r="L12" s="251"/>
      <c r="N12" s="309"/>
      <c r="O12" s="309"/>
    </row>
    <row r="13" ht="18" customHeight="1" outlineLevel="2" spans="1:15">
      <c r="A13" s="76" t="s">
        <v>49</v>
      </c>
      <c r="B13" s="87" t="s">
        <v>50</v>
      </c>
      <c r="C13" s="237" t="s">
        <v>51</v>
      </c>
      <c r="D13" s="84">
        <v>30</v>
      </c>
      <c r="E13" s="79">
        <v>2500</v>
      </c>
      <c r="F13" s="236">
        <v>7.5</v>
      </c>
      <c r="G13" s="237" t="s">
        <v>51</v>
      </c>
      <c r="H13" s="79">
        <v>30</v>
      </c>
      <c r="I13" s="79">
        <v>2500</v>
      </c>
      <c r="J13" s="79">
        <f>H13*I13/10000</f>
        <v>7.5</v>
      </c>
      <c r="K13" s="80">
        <f t="shared" si="0"/>
        <v>0</v>
      </c>
      <c r="L13" s="254"/>
      <c r="N13" s="309"/>
      <c r="O13" s="309"/>
    </row>
    <row r="14" ht="18" customHeight="1" outlineLevel="2" spans="1:15">
      <c r="A14" s="76" t="s">
        <v>78</v>
      </c>
      <c r="B14" s="77" t="s">
        <v>186</v>
      </c>
      <c r="C14" s="78"/>
      <c r="D14" s="84"/>
      <c r="E14" s="79"/>
      <c r="F14" s="80">
        <v>1715.61</v>
      </c>
      <c r="G14" s="86"/>
      <c r="H14" s="79"/>
      <c r="I14" s="83"/>
      <c r="J14" s="79">
        <f>SUM(J15:J23)</f>
        <v>1648.58</v>
      </c>
      <c r="K14" s="80">
        <f t="shared" si="0"/>
        <v>-67.03</v>
      </c>
      <c r="L14" s="254"/>
      <c r="N14" s="309"/>
      <c r="O14" s="309"/>
    </row>
    <row r="15" ht="18" customHeight="1" outlineLevel="2" spans="1:15">
      <c r="A15" s="76" t="s">
        <v>43</v>
      </c>
      <c r="B15" s="85" t="s">
        <v>187</v>
      </c>
      <c r="C15" s="78" t="s">
        <v>41</v>
      </c>
      <c r="D15" s="84">
        <v>4</v>
      </c>
      <c r="E15" s="79">
        <v>12787.08</v>
      </c>
      <c r="F15" s="93">
        <v>5.11</v>
      </c>
      <c r="G15" s="78" t="s">
        <v>41</v>
      </c>
      <c r="H15" s="84">
        <v>4</v>
      </c>
      <c r="I15" s="79">
        <v>12787.08</v>
      </c>
      <c r="J15" s="79">
        <f>H15*I15/10000</f>
        <v>5.11</v>
      </c>
      <c r="K15" s="80">
        <f t="shared" si="0"/>
        <v>0</v>
      </c>
      <c r="L15" s="251" t="s">
        <v>188</v>
      </c>
      <c r="N15" s="309"/>
      <c r="O15" s="309"/>
    </row>
    <row r="16" ht="18" customHeight="1" outlineLevel="2" spans="1:15">
      <c r="A16" s="76" t="s">
        <v>46</v>
      </c>
      <c r="B16" s="87" t="s">
        <v>189</v>
      </c>
      <c r="C16" s="78" t="s">
        <v>51</v>
      </c>
      <c r="D16" s="84">
        <v>3923</v>
      </c>
      <c r="E16" s="79">
        <v>1243.62</v>
      </c>
      <c r="F16" s="93">
        <v>487.87</v>
      </c>
      <c r="G16" s="86" t="s">
        <v>51</v>
      </c>
      <c r="H16" s="84">
        <v>3923</v>
      </c>
      <c r="I16" s="79">
        <v>1243.62</v>
      </c>
      <c r="J16" s="79">
        <f>H16*I16/10000</f>
        <v>487.87</v>
      </c>
      <c r="K16" s="80">
        <f t="shared" si="0"/>
        <v>0</v>
      </c>
      <c r="L16" s="251" t="s">
        <v>190</v>
      </c>
      <c r="N16" s="309"/>
      <c r="O16" s="309"/>
    </row>
    <row r="17" ht="18" customHeight="1" outlineLevel="2" spans="1:15">
      <c r="A17" s="76" t="s">
        <v>49</v>
      </c>
      <c r="B17" s="87" t="s">
        <v>191</v>
      </c>
      <c r="C17" s="78" t="s">
        <v>41</v>
      </c>
      <c r="D17" s="84">
        <v>46</v>
      </c>
      <c r="E17" s="79">
        <v>15619.9</v>
      </c>
      <c r="F17" s="93">
        <v>71.85</v>
      </c>
      <c r="G17" s="78" t="s">
        <v>41</v>
      </c>
      <c r="H17" s="84">
        <v>46</v>
      </c>
      <c r="I17" s="79">
        <v>15619.9</v>
      </c>
      <c r="J17" s="79">
        <f t="shared" ref="J17:J18" si="1">H17*I17/10000</f>
        <v>71.85</v>
      </c>
      <c r="K17" s="80">
        <f t="shared" ref="K17:K18" si="2">J17-F17</f>
        <v>0</v>
      </c>
      <c r="L17" s="251" t="s">
        <v>192</v>
      </c>
      <c r="N17" s="309"/>
      <c r="O17" s="309"/>
    </row>
    <row r="18" ht="18" customHeight="1" outlineLevel="2" spans="1:15">
      <c r="A18" s="76" t="s">
        <v>62</v>
      </c>
      <c r="B18" s="87" t="s">
        <v>193</v>
      </c>
      <c r="C18" s="78" t="s">
        <v>41</v>
      </c>
      <c r="D18" s="84">
        <v>14</v>
      </c>
      <c r="E18" s="79">
        <v>22577.77</v>
      </c>
      <c r="F18" s="93">
        <v>31.61</v>
      </c>
      <c r="G18" s="78" t="s">
        <v>41</v>
      </c>
      <c r="H18" s="84">
        <v>14</v>
      </c>
      <c r="I18" s="253">
        <v>16000</v>
      </c>
      <c r="J18" s="79">
        <f t="shared" si="1"/>
        <v>22.4</v>
      </c>
      <c r="K18" s="80">
        <f t="shared" si="2"/>
        <v>-9.21</v>
      </c>
      <c r="L18" s="251" t="s">
        <v>194</v>
      </c>
      <c r="M18" s="269" t="s">
        <v>195</v>
      </c>
      <c r="N18" s="309"/>
      <c r="O18" s="309"/>
    </row>
    <row r="19" ht="18" customHeight="1" outlineLevel="2" spans="1:15">
      <c r="A19" s="76" t="s">
        <v>65</v>
      </c>
      <c r="B19" s="87" t="s">
        <v>196</v>
      </c>
      <c r="C19" s="78" t="s">
        <v>41</v>
      </c>
      <c r="D19" s="84">
        <v>36</v>
      </c>
      <c r="E19" s="79">
        <v>39156.4</v>
      </c>
      <c r="F19" s="93">
        <v>140.96</v>
      </c>
      <c r="G19" s="78" t="s">
        <v>41</v>
      </c>
      <c r="H19" s="84">
        <v>36</v>
      </c>
      <c r="I19" s="253">
        <v>30000</v>
      </c>
      <c r="J19" s="79">
        <f t="shared" ref="J19:J23" si="3">H19*I19/10000</f>
        <v>108</v>
      </c>
      <c r="K19" s="80">
        <f t="shared" ref="K19:K22" si="4">J19-F19</f>
        <v>-32.96</v>
      </c>
      <c r="L19" s="251" t="s">
        <v>197</v>
      </c>
      <c r="M19" s="269" t="s">
        <v>195</v>
      </c>
      <c r="N19" s="309"/>
      <c r="O19" s="309"/>
    </row>
    <row r="20" ht="18" customHeight="1" outlineLevel="2" spans="1:15">
      <c r="A20" s="76" t="s">
        <v>68</v>
      </c>
      <c r="B20" s="87" t="s">
        <v>198</v>
      </c>
      <c r="C20" s="78" t="s">
        <v>51</v>
      </c>
      <c r="D20" s="84">
        <v>17799</v>
      </c>
      <c r="E20" s="79">
        <v>329.55</v>
      </c>
      <c r="F20" s="93">
        <v>586.57</v>
      </c>
      <c r="G20" s="78" t="s">
        <v>51</v>
      </c>
      <c r="H20" s="84">
        <v>17799</v>
      </c>
      <c r="I20" s="79">
        <v>329.55</v>
      </c>
      <c r="J20" s="79">
        <f t="shared" si="3"/>
        <v>586.57</v>
      </c>
      <c r="K20" s="80">
        <f t="shared" si="4"/>
        <v>0</v>
      </c>
      <c r="L20" s="251" t="s">
        <v>199</v>
      </c>
      <c r="N20" s="309"/>
      <c r="O20" s="309"/>
    </row>
    <row r="21" ht="18" customHeight="1" outlineLevel="2" spans="1:15">
      <c r="A21" s="76" t="s">
        <v>136</v>
      </c>
      <c r="B21" s="87" t="s">
        <v>200</v>
      </c>
      <c r="C21" s="78" t="s">
        <v>51</v>
      </c>
      <c r="D21" s="84">
        <v>7137</v>
      </c>
      <c r="E21" s="79">
        <v>289.56</v>
      </c>
      <c r="F21" s="93">
        <v>206.66</v>
      </c>
      <c r="G21" s="78" t="s">
        <v>51</v>
      </c>
      <c r="H21" s="84">
        <v>7137</v>
      </c>
      <c r="I21" s="79">
        <v>289.56</v>
      </c>
      <c r="J21" s="79">
        <f t="shared" si="3"/>
        <v>206.66</v>
      </c>
      <c r="K21" s="80">
        <f t="shared" si="4"/>
        <v>0</v>
      </c>
      <c r="L21" s="251" t="s">
        <v>201</v>
      </c>
      <c r="N21" s="309"/>
      <c r="O21" s="309"/>
    </row>
    <row r="22" ht="18" customHeight="1" outlineLevel="2" spans="1:15">
      <c r="A22" s="76" t="s">
        <v>138</v>
      </c>
      <c r="B22" s="87" t="s">
        <v>202</v>
      </c>
      <c r="C22" s="78" t="s">
        <v>203</v>
      </c>
      <c r="D22" s="84">
        <v>352</v>
      </c>
      <c r="E22" s="79">
        <v>1192.6</v>
      </c>
      <c r="F22" s="93">
        <v>41.98</v>
      </c>
      <c r="G22" s="78" t="s">
        <v>203</v>
      </c>
      <c r="H22" s="84">
        <v>352</v>
      </c>
      <c r="I22" s="253">
        <v>850</v>
      </c>
      <c r="J22" s="79">
        <f t="shared" si="3"/>
        <v>29.92</v>
      </c>
      <c r="K22" s="79">
        <f t="shared" si="4"/>
        <v>-12.06</v>
      </c>
      <c r="L22" s="251" t="s">
        <v>204</v>
      </c>
      <c r="M22" s="269" t="s">
        <v>205</v>
      </c>
      <c r="N22" s="309"/>
      <c r="O22" s="309"/>
    </row>
    <row r="23" s="63" customFormat="1" ht="18" customHeight="1" outlineLevel="2" spans="1:15">
      <c r="A23" s="76" t="s">
        <v>140</v>
      </c>
      <c r="B23" s="87" t="s">
        <v>206</v>
      </c>
      <c r="C23" s="78" t="s">
        <v>41</v>
      </c>
      <c r="D23" s="84">
        <v>42</v>
      </c>
      <c r="E23" s="79">
        <v>34046.62</v>
      </c>
      <c r="F23" s="93">
        <v>143</v>
      </c>
      <c r="G23" s="78" t="s">
        <v>41</v>
      </c>
      <c r="H23" s="84">
        <v>42</v>
      </c>
      <c r="I23" s="253">
        <v>31000</v>
      </c>
      <c r="J23" s="79">
        <f t="shared" si="3"/>
        <v>130.2</v>
      </c>
      <c r="K23" s="79">
        <f t="shared" ref="K23:K24" si="5">J23-F23</f>
        <v>-12.8</v>
      </c>
      <c r="L23" s="251" t="s">
        <v>207</v>
      </c>
      <c r="N23" s="309"/>
      <c r="O23" s="309"/>
    </row>
    <row r="24" ht="18" customHeight="1" outlineLevel="2" spans="1:15">
      <c r="A24" s="76">
        <v>4</v>
      </c>
      <c r="B24" s="77" t="s">
        <v>208</v>
      </c>
      <c r="C24" s="78"/>
      <c r="D24" s="84"/>
      <c r="E24" s="79"/>
      <c r="F24" s="80">
        <v>310.22</v>
      </c>
      <c r="G24" s="86"/>
      <c r="H24" s="83"/>
      <c r="I24" s="83"/>
      <c r="J24" s="79">
        <f>SUM(J25:J27)</f>
        <v>212.6</v>
      </c>
      <c r="K24" s="79">
        <f t="shared" si="5"/>
        <v>-97.62</v>
      </c>
      <c r="L24" s="310"/>
      <c r="N24" s="309"/>
      <c r="O24" s="309"/>
    </row>
    <row r="25" ht="18" customHeight="1" outlineLevel="2" spans="1:15">
      <c r="A25" s="76" t="s">
        <v>43</v>
      </c>
      <c r="B25" s="87" t="s">
        <v>209</v>
      </c>
      <c r="C25" s="78" t="s">
        <v>41</v>
      </c>
      <c r="D25" s="84">
        <v>44</v>
      </c>
      <c r="E25" s="79">
        <v>43329.95</v>
      </c>
      <c r="F25" s="236">
        <v>190.65</v>
      </c>
      <c r="G25" s="78" t="s">
        <v>41</v>
      </c>
      <c r="H25" s="84">
        <v>44</v>
      </c>
      <c r="I25" s="253">
        <v>29000</v>
      </c>
      <c r="J25" s="79">
        <f t="shared" ref="J25" si="6">H25*I25/10000</f>
        <v>127.6</v>
      </c>
      <c r="K25" s="79">
        <f t="shared" ref="K25" si="7">J25-F25</f>
        <v>-63.05</v>
      </c>
      <c r="L25" s="268" t="s">
        <v>210</v>
      </c>
      <c r="M25" s="269" t="s">
        <v>211</v>
      </c>
      <c r="N25" s="309"/>
      <c r="O25" s="309"/>
    </row>
    <row r="26" s="63" customFormat="1" ht="18" customHeight="1" outlineLevel="2" spans="1:15">
      <c r="A26" s="76" t="s">
        <v>46</v>
      </c>
      <c r="B26" s="87" t="s">
        <v>212</v>
      </c>
      <c r="C26" s="78" t="s">
        <v>41</v>
      </c>
      <c r="D26" s="84">
        <v>18</v>
      </c>
      <c r="E26" s="79">
        <v>30725.69</v>
      </c>
      <c r="F26" s="236">
        <v>55.31</v>
      </c>
      <c r="G26" s="78" t="s">
        <v>41</v>
      </c>
      <c r="H26" s="84">
        <v>18</v>
      </c>
      <c r="I26" s="253">
        <v>20000</v>
      </c>
      <c r="J26" s="79">
        <f t="shared" ref="J26" si="8">H26*I26/10000</f>
        <v>36</v>
      </c>
      <c r="K26" s="79">
        <f t="shared" ref="K26" si="9">J26-F26</f>
        <v>-19.31</v>
      </c>
      <c r="L26" s="268" t="s">
        <v>213</v>
      </c>
      <c r="M26" s="269" t="s">
        <v>211</v>
      </c>
      <c r="N26" s="309"/>
      <c r="O26" s="309"/>
    </row>
    <row r="27" ht="18" customHeight="1" outlineLevel="2" spans="1:15">
      <c r="A27" s="76" t="s">
        <v>49</v>
      </c>
      <c r="B27" s="87" t="s">
        <v>214</v>
      </c>
      <c r="C27" s="78" t="s">
        <v>60</v>
      </c>
      <c r="D27" s="84">
        <v>700</v>
      </c>
      <c r="E27" s="79">
        <v>917.98</v>
      </c>
      <c r="F27" s="236">
        <v>64.26</v>
      </c>
      <c r="G27" s="78" t="s">
        <v>60</v>
      </c>
      <c r="H27" s="84">
        <v>700</v>
      </c>
      <c r="I27" s="253">
        <v>700</v>
      </c>
      <c r="J27" s="79">
        <f t="shared" ref="J27" si="10">H27*I27/10000</f>
        <v>49</v>
      </c>
      <c r="K27" s="79">
        <f t="shared" ref="K27" si="11">J27-F27</f>
        <v>-15.26</v>
      </c>
      <c r="L27" s="251" t="s">
        <v>215</v>
      </c>
      <c r="M27" s="269" t="s">
        <v>216</v>
      </c>
      <c r="N27" s="309"/>
      <c r="O27" s="309"/>
    </row>
    <row r="28" ht="18" customHeight="1" outlineLevel="1" spans="1:12">
      <c r="A28" s="73" t="s">
        <v>71</v>
      </c>
      <c r="B28" s="74" t="s">
        <v>72</v>
      </c>
      <c r="C28" s="234"/>
      <c r="D28" s="84"/>
      <c r="E28" s="79"/>
      <c r="F28" s="75">
        <v>118.88</v>
      </c>
      <c r="G28" s="90"/>
      <c r="H28" s="91"/>
      <c r="I28" s="86"/>
      <c r="J28" s="75">
        <f>SUM(J29:J31)</f>
        <v>112.7</v>
      </c>
      <c r="K28" s="75">
        <f t="shared" ref="K28:K39" si="12">J28-F28</f>
        <v>-6.18</v>
      </c>
      <c r="L28" s="255"/>
    </row>
    <row r="29" ht="18" customHeight="1" outlineLevel="2" spans="1:12">
      <c r="A29" s="76" t="s">
        <v>39</v>
      </c>
      <c r="B29" s="77" t="s">
        <v>217</v>
      </c>
      <c r="C29" s="78" t="s">
        <v>218</v>
      </c>
      <c r="D29" s="84">
        <v>2400</v>
      </c>
      <c r="E29" s="79">
        <v>267.24</v>
      </c>
      <c r="F29" s="80">
        <v>64.14</v>
      </c>
      <c r="G29" s="78" t="s">
        <v>218</v>
      </c>
      <c r="H29" s="84">
        <v>2400</v>
      </c>
      <c r="I29" s="79">
        <v>260</v>
      </c>
      <c r="J29" s="93">
        <f>H29*I29/10000</f>
        <v>62.4</v>
      </c>
      <c r="K29" s="93">
        <f t="shared" si="12"/>
        <v>-1.74</v>
      </c>
      <c r="L29" s="256" t="s">
        <v>219</v>
      </c>
    </row>
    <row r="30" ht="18" customHeight="1" outlineLevel="2" spans="1:12">
      <c r="A30" s="76" t="s">
        <v>52</v>
      </c>
      <c r="B30" s="77" t="s">
        <v>220</v>
      </c>
      <c r="C30" s="78" t="s">
        <v>218</v>
      </c>
      <c r="D30" s="84">
        <v>1704</v>
      </c>
      <c r="E30" s="79">
        <v>246.06</v>
      </c>
      <c r="F30" s="80">
        <v>41.93</v>
      </c>
      <c r="G30" s="78" t="s">
        <v>218</v>
      </c>
      <c r="H30" s="84">
        <v>1704</v>
      </c>
      <c r="I30" s="79">
        <v>220</v>
      </c>
      <c r="J30" s="93">
        <f>H30*I30/10000</f>
        <v>37.49</v>
      </c>
      <c r="K30" s="93">
        <f t="shared" si="12"/>
        <v>-4.44</v>
      </c>
      <c r="L30" s="256" t="s">
        <v>75</v>
      </c>
    </row>
    <row r="31" ht="18" customHeight="1" outlineLevel="2" spans="1:12">
      <c r="A31" s="76" t="s">
        <v>78</v>
      </c>
      <c r="B31" s="77" t="s">
        <v>172</v>
      </c>
      <c r="C31" s="78" t="s">
        <v>218</v>
      </c>
      <c r="D31" s="84">
        <v>420</v>
      </c>
      <c r="E31" s="79">
        <v>305.01</v>
      </c>
      <c r="F31" s="80">
        <v>12.81</v>
      </c>
      <c r="G31" s="78" t="s">
        <v>218</v>
      </c>
      <c r="H31" s="84">
        <v>420</v>
      </c>
      <c r="I31" s="79">
        <v>305.01</v>
      </c>
      <c r="J31" s="93">
        <f>H31*I31/10000</f>
        <v>12.81</v>
      </c>
      <c r="K31" s="93">
        <f t="shared" si="12"/>
        <v>0</v>
      </c>
      <c r="L31" s="256" t="s">
        <v>221</v>
      </c>
    </row>
    <row r="32" ht="18" customHeight="1" outlineLevel="1" spans="1:16">
      <c r="A32" s="73" t="s">
        <v>92</v>
      </c>
      <c r="B32" s="74" t="s">
        <v>93</v>
      </c>
      <c r="C32" s="78"/>
      <c r="D32" s="84"/>
      <c r="E32" s="79"/>
      <c r="F32" s="218">
        <v>6</v>
      </c>
      <c r="G32" s="100"/>
      <c r="H32" s="101"/>
      <c r="I32" s="86"/>
      <c r="J32" s="218">
        <f>SUM(J33:J34)</f>
        <v>6</v>
      </c>
      <c r="K32" s="218">
        <f t="shared" si="12"/>
        <v>0</v>
      </c>
      <c r="L32" s="257"/>
      <c r="M32" s="65"/>
      <c r="N32" s="65"/>
      <c r="O32" s="65"/>
      <c r="P32" s="65"/>
    </row>
    <row r="33" ht="18" customHeight="1" outlineLevel="2" spans="1:16">
      <c r="A33" s="76">
        <v>1</v>
      </c>
      <c r="B33" s="77" t="s">
        <v>222</v>
      </c>
      <c r="C33" s="78" t="s">
        <v>223</v>
      </c>
      <c r="D33" s="84">
        <v>200</v>
      </c>
      <c r="E33" s="79">
        <v>120</v>
      </c>
      <c r="F33" s="93">
        <v>2.4</v>
      </c>
      <c r="G33" s="78" t="s">
        <v>223</v>
      </c>
      <c r="H33" s="84">
        <v>200</v>
      </c>
      <c r="I33" s="79">
        <v>120</v>
      </c>
      <c r="J33" s="93">
        <f>H33*I33/10000</f>
        <v>2.4</v>
      </c>
      <c r="K33" s="93">
        <f t="shared" si="12"/>
        <v>0</v>
      </c>
      <c r="L33" s="257"/>
      <c r="M33" s="258"/>
      <c r="N33" s="65"/>
      <c r="O33" s="65"/>
      <c r="P33" s="65"/>
    </row>
    <row r="34" ht="18" customHeight="1" outlineLevel="2" spans="1:16">
      <c r="A34" s="76" t="s">
        <v>52</v>
      </c>
      <c r="B34" s="77" t="s">
        <v>224</v>
      </c>
      <c r="C34" s="78" t="s">
        <v>225</v>
      </c>
      <c r="D34" s="84">
        <v>6</v>
      </c>
      <c r="E34" s="79">
        <v>6000</v>
      </c>
      <c r="F34" s="93">
        <v>3.6</v>
      </c>
      <c r="G34" s="78" t="s">
        <v>225</v>
      </c>
      <c r="H34" s="84">
        <v>6</v>
      </c>
      <c r="I34" s="79">
        <v>6000</v>
      </c>
      <c r="J34" s="93">
        <f>H34*I34/10000</f>
        <v>3.6</v>
      </c>
      <c r="K34" s="93">
        <f t="shared" si="12"/>
        <v>0</v>
      </c>
      <c r="L34" s="257"/>
      <c r="M34" s="258"/>
      <c r="N34" s="65"/>
      <c r="O34" s="65"/>
      <c r="P34" s="65"/>
    </row>
    <row r="35" ht="18" customHeight="1" outlineLevel="1" spans="1:16">
      <c r="A35" s="73" t="s">
        <v>96</v>
      </c>
      <c r="B35" s="74" t="s">
        <v>97</v>
      </c>
      <c r="C35" s="234"/>
      <c r="D35" s="84"/>
      <c r="E35" s="219"/>
      <c r="F35" s="75">
        <v>515.27</v>
      </c>
      <c r="G35" s="100"/>
      <c r="H35" s="101"/>
      <c r="I35" s="86"/>
      <c r="J35" s="75">
        <f>SUM(J36:J37)</f>
        <v>418.88</v>
      </c>
      <c r="K35" s="75">
        <f t="shared" si="12"/>
        <v>-96.39</v>
      </c>
      <c r="L35" s="257"/>
      <c r="M35" s="258"/>
      <c r="N35" s="65"/>
      <c r="O35" s="65"/>
      <c r="P35" s="65"/>
    </row>
    <row r="36" ht="18" customHeight="1" outlineLevel="2" spans="1:16">
      <c r="A36" s="76" t="s">
        <v>39</v>
      </c>
      <c r="B36" s="304" t="s">
        <v>226</v>
      </c>
      <c r="C36" s="78" t="s">
        <v>218</v>
      </c>
      <c r="D36" s="79">
        <v>787.56</v>
      </c>
      <c r="E36" s="213">
        <v>2537.53</v>
      </c>
      <c r="F36" s="93">
        <v>199.85</v>
      </c>
      <c r="G36" s="78" t="s">
        <v>218</v>
      </c>
      <c r="H36" s="79">
        <v>787.56</v>
      </c>
      <c r="I36" s="213">
        <v>2500</v>
      </c>
      <c r="J36" s="93">
        <f>H36*I36/10000</f>
        <v>196.89</v>
      </c>
      <c r="K36" s="93">
        <f t="shared" si="12"/>
        <v>-2.96</v>
      </c>
      <c r="L36" s="257"/>
      <c r="M36" s="258"/>
      <c r="N36" s="65"/>
      <c r="O36" s="65"/>
      <c r="P36" s="65"/>
    </row>
    <row r="37" ht="18" customHeight="1" outlineLevel="2" spans="1:16">
      <c r="A37" s="76" t="s">
        <v>52</v>
      </c>
      <c r="B37" s="304" t="s">
        <v>227</v>
      </c>
      <c r="C37" s="78" t="s">
        <v>218</v>
      </c>
      <c r="D37" s="79">
        <v>12333</v>
      </c>
      <c r="E37" s="213">
        <v>255.76</v>
      </c>
      <c r="F37" s="93">
        <v>315.43</v>
      </c>
      <c r="G37" s="78" t="s">
        <v>218</v>
      </c>
      <c r="H37" s="79">
        <v>12333</v>
      </c>
      <c r="I37" s="213">
        <v>180</v>
      </c>
      <c r="J37" s="93">
        <f>H37*I37/10000</f>
        <v>221.99</v>
      </c>
      <c r="K37" s="93">
        <f t="shared" si="12"/>
        <v>-93.44</v>
      </c>
      <c r="L37" s="256" t="s">
        <v>219</v>
      </c>
      <c r="M37" s="258"/>
      <c r="N37" s="65"/>
      <c r="O37" s="65"/>
      <c r="P37" s="65"/>
    </row>
    <row r="38" s="63" customFormat="1" ht="18" customHeight="1" spans="1:12">
      <c r="A38" s="94" t="s">
        <v>100</v>
      </c>
      <c r="B38" s="95" t="s">
        <v>101</v>
      </c>
      <c r="C38" s="102"/>
      <c r="D38" s="233"/>
      <c r="E38" s="103"/>
      <c r="F38" s="103">
        <v>348.56</v>
      </c>
      <c r="G38" s="96"/>
      <c r="H38" s="97"/>
      <c r="I38" s="97"/>
      <c r="J38" s="103">
        <f>SUM(J39:J47)</f>
        <v>207.93</v>
      </c>
      <c r="K38" s="103">
        <f t="shared" si="12"/>
        <v>-140.63</v>
      </c>
      <c r="L38" s="259">
        <f>J38/J48</f>
        <v>0.0729</v>
      </c>
    </row>
    <row r="39" ht="18" customHeight="1" spans="1:12">
      <c r="A39" s="239">
        <v>1</v>
      </c>
      <c r="B39" s="99" t="s">
        <v>102</v>
      </c>
      <c r="C39" s="240"/>
      <c r="D39" s="240"/>
      <c r="E39" s="240"/>
      <c r="F39" s="93">
        <v>71.59</v>
      </c>
      <c r="G39" s="100"/>
      <c r="H39" s="101"/>
      <c r="I39" s="86"/>
      <c r="J39" s="93">
        <v>30</v>
      </c>
      <c r="K39" s="93">
        <f t="shared" si="12"/>
        <v>-41.59</v>
      </c>
      <c r="L39" s="256" t="s">
        <v>103</v>
      </c>
    </row>
    <row r="40" ht="18" customHeight="1" spans="1:12">
      <c r="A40" s="239">
        <v>2</v>
      </c>
      <c r="B40" s="99" t="s">
        <v>104</v>
      </c>
      <c r="C40" s="240"/>
      <c r="D40" s="240"/>
      <c r="E40" s="240"/>
      <c r="F40" s="93"/>
      <c r="G40" s="100"/>
      <c r="H40" s="101"/>
      <c r="I40" s="86"/>
      <c r="J40" s="93"/>
      <c r="K40" s="83"/>
      <c r="L40" s="256"/>
    </row>
    <row r="41" s="63" customFormat="1" ht="18" customHeight="1" spans="1:13">
      <c r="A41" s="76" t="s">
        <v>43</v>
      </c>
      <c r="B41" s="148" t="s">
        <v>105</v>
      </c>
      <c r="C41" s="240"/>
      <c r="D41" s="240"/>
      <c r="E41" s="240"/>
      <c r="F41" s="93">
        <v>85.87</v>
      </c>
      <c r="G41" s="70"/>
      <c r="H41" s="71"/>
      <c r="I41" s="71"/>
      <c r="J41" s="93">
        <f>(78.1+(J5-3000)*(42.7/2000))*0.9*0.85</f>
        <v>53.93</v>
      </c>
      <c r="K41" s="93">
        <f>J41-F41</f>
        <v>-31.94</v>
      </c>
      <c r="L41" s="256" t="s">
        <v>106</v>
      </c>
      <c r="M41" s="309"/>
    </row>
    <row r="42" s="63" customFormat="1" ht="18" customHeight="1" spans="1:12">
      <c r="A42" s="76" t="s">
        <v>46</v>
      </c>
      <c r="B42" s="148" t="s">
        <v>107</v>
      </c>
      <c r="C42" s="240"/>
      <c r="D42" s="240"/>
      <c r="E42" s="240"/>
      <c r="F42" s="93">
        <v>25.76</v>
      </c>
      <c r="G42" s="70"/>
      <c r="H42" s="71"/>
      <c r="I42" s="71"/>
      <c r="J42" s="93">
        <f>6.8+(J49-1000)*0.6%</f>
        <v>24.48</v>
      </c>
      <c r="K42" s="93">
        <f>J42-F42</f>
        <v>-1.28</v>
      </c>
      <c r="L42" s="261" t="s">
        <v>108</v>
      </c>
    </row>
    <row r="43" ht="18" customHeight="1" spans="1:12">
      <c r="A43" s="76" t="s">
        <v>78</v>
      </c>
      <c r="B43" s="99" t="s">
        <v>109</v>
      </c>
      <c r="C43" s="240"/>
      <c r="D43" s="241"/>
      <c r="E43" s="241"/>
      <c r="F43" s="93">
        <v>19.53</v>
      </c>
      <c r="G43" s="86"/>
      <c r="H43" s="101"/>
      <c r="I43" s="86"/>
      <c r="J43" s="93">
        <f>8.8+(J5-3000)*0.26%</f>
        <v>7.87</v>
      </c>
      <c r="K43" s="93">
        <f>J43-F43</f>
        <v>-11.66</v>
      </c>
      <c r="L43" s="262"/>
    </row>
    <row r="44" ht="18" customHeight="1" spans="1:12">
      <c r="A44" s="239" t="s">
        <v>80</v>
      </c>
      <c r="B44" s="99" t="s">
        <v>112</v>
      </c>
      <c r="C44" s="240"/>
      <c r="D44" s="241"/>
      <c r="E44" s="241"/>
      <c r="F44" s="93"/>
      <c r="G44" s="86"/>
      <c r="H44" s="101"/>
      <c r="I44" s="86"/>
      <c r="J44" s="93"/>
      <c r="K44" s="83"/>
      <c r="L44" s="262"/>
    </row>
    <row r="45" ht="18" customHeight="1" spans="1:13">
      <c r="A45" s="76" t="s">
        <v>43</v>
      </c>
      <c r="B45" s="148" t="s">
        <v>113</v>
      </c>
      <c r="C45" s="240"/>
      <c r="D45" s="240"/>
      <c r="E45" s="240"/>
      <c r="F45" s="93">
        <v>19.05</v>
      </c>
      <c r="G45" s="86"/>
      <c r="H45" s="101"/>
      <c r="I45" s="86"/>
      <c r="J45" s="93">
        <f>2000*1%+(J5-2000)*0.5%</f>
        <v>23.22</v>
      </c>
      <c r="K45" s="93">
        <f>J45-F45</f>
        <v>4.17</v>
      </c>
      <c r="L45" s="262" t="s">
        <v>114</v>
      </c>
      <c r="M45" s="309"/>
    </row>
    <row r="46" ht="18" customHeight="1" spans="1:13">
      <c r="A46" s="76" t="s">
        <v>46</v>
      </c>
      <c r="B46" s="148" t="s">
        <v>115</v>
      </c>
      <c r="C46" s="240"/>
      <c r="D46" s="240"/>
      <c r="E46" s="240"/>
      <c r="F46" s="93">
        <v>115.35</v>
      </c>
      <c r="G46" s="86"/>
      <c r="H46" s="101"/>
      <c r="I46" s="86"/>
      <c r="J46" s="93">
        <f>(103.8+(J5-3000)*3.005%)*0.8*0.85</f>
        <v>63.3</v>
      </c>
      <c r="K46" s="93">
        <f>J46-F46</f>
        <v>-52.05</v>
      </c>
      <c r="L46" s="262" t="s">
        <v>116</v>
      </c>
      <c r="M46" s="309"/>
    </row>
    <row r="47" ht="18" customHeight="1" spans="1:13">
      <c r="A47" s="239" t="s">
        <v>85</v>
      </c>
      <c r="B47" s="99" t="s">
        <v>117</v>
      </c>
      <c r="C47" s="240"/>
      <c r="D47" s="240"/>
      <c r="E47" s="240"/>
      <c r="F47" s="93"/>
      <c r="G47" s="86"/>
      <c r="H47" s="101"/>
      <c r="I47" s="86"/>
      <c r="J47" s="93">
        <f>3.3+(J49-2000)*0.094%</f>
        <v>5.13</v>
      </c>
      <c r="K47" s="93">
        <f>J47-F47</f>
        <v>5.13</v>
      </c>
      <c r="L47" s="263" t="s">
        <v>118</v>
      </c>
      <c r="M47" s="309"/>
    </row>
    <row r="48" s="63" customFormat="1" ht="18" customHeight="1" spans="1:12">
      <c r="A48" s="94" t="s">
        <v>119</v>
      </c>
      <c r="B48" s="95" t="s">
        <v>120</v>
      </c>
      <c r="C48" s="102" t="s">
        <v>36</v>
      </c>
      <c r="D48" s="103">
        <v>3546</v>
      </c>
      <c r="E48" s="103">
        <v>11729.99</v>
      </c>
      <c r="F48" s="98">
        <v>4159.46</v>
      </c>
      <c r="G48" s="96" t="s">
        <v>36</v>
      </c>
      <c r="H48" s="103">
        <v>3546</v>
      </c>
      <c r="I48" s="103">
        <f>J48/H48*10000</f>
        <v>8042.02</v>
      </c>
      <c r="J48" s="98">
        <f>J5+J38</f>
        <v>2851.7</v>
      </c>
      <c r="K48" s="98">
        <f>J48-F48</f>
        <v>-1307.76</v>
      </c>
      <c r="L48" s="246"/>
    </row>
    <row r="49" customHeight="1" spans="9:12">
      <c r="I49" s="265" t="s">
        <v>121</v>
      </c>
      <c r="J49" s="266">
        <v>3947.09</v>
      </c>
      <c r="L49" s="267">
        <f>K48/F48</f>
        <v>-0.314</v>
      </c>
    </row>
    <row r="51" customHeight="1" spans="10:10">
      <c r="J51" s="266"/>
    </row>
    <row r="52" customHeight="1" spans="7:7">
      <c r="G52" s="305"/>
    </row>
    <row r="53" customHeight="1" spans="7:7">
      <c r="G53" s="305"/>
    </row>
    <row r="54" customHeight="1" spans="7:7">
      <c r="G54" s="306"/>
    </row>
  </sheetData>
  <mergeCells count="8">
    <mergeCell ref="A1:L1"/>
    <mergeCell ref="A2:L2"/>
    <mergeCell ref="C3:F3"/>
    <mergeCell ref="G3:J3"/>
    <mergeCell ref="A3:A4"/>
    <mergeCell ref="B3:B4"/>
    <mergeCell ref="K3:K4"/>
    <mergeCell ref="L3:L4"/>
  </mergeCells>
  <printOptions horizontalCentered="1"/>
  <pageMargins left="0.393055555555556" right="0.393055555555556" top="0.590277777777778" bottom="0.786805555555556" header="0.313888888888889" footer="0.590277777777778"/>
  <pageSetup paperSize="9" scale="74" fitToHeight="0" orientation="landscape"/>
  <headerFooter>
    <oddFooter>&amp;C&amp;10&amp;P/&amp;N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outlinePr summaryBelow="0" summaryRight="0"/>
    <pageSetUpPr fitToPage="1"/>
  </sheetPr>
  <dimension ref="A1:L49"/>
  <sheetViews>
    <sheetView zoomScale="85" zoomScaleNormal="85" workbookViewId="0">
      <pane ySplit="4" topLeftCell="A5" activePane="bottomLeft" state="frozen"/>
      <selection/>
      <selection pane="bottomLeft" activeCell="Q22" sqref="Q22"/>
    </sheetView>
  </sheetViews>
  <sheetFormatPr defaultColWidth="8.875" defaultRowHeight="20.1" customHeight="1"/>
  <cols>
    <col min="1" max="1" width="5.125" style="273" customWidth="1"/>
    <col min="2" max="2" width="26.625" style="274" customWidth="1"/>
    <col min="3" max="3" width="6.5" style="275" customWidth="1"/>
    <col min="4" max="4" width="10.625" style="275" customWidth="1"/>
    <col min="5" max="6" width="12.625" style="275" customWidth="1"/>
    <col min="7" max="7" width="5.375" style="276" customWidth="1"/>
    <col min="8" max="8" width="10.125" style="275" customWidth="1"/>
    <col min="9" max="9" width="11.5" style="276" customWidth="1"/>
    <col min="10" max="10" width="10.125" style="276" customWidth="1"/>
    <col min="11" max="11" width="10.125" style="277" customWidth="1"/>
    <col min="12" max="12" width="38.5" style="274" customWidth="1"/>
    <col min="13" max="13" width="21" style="275" customWidth="1"/>
    <col min="14" max="16384" width="8.875" style="275"/>
  </cols>
  <sheetData>
    <row r="1" s="271" customFormat="1" ht="20.85" customHeight="1" spans="1:12">
      <c r="A1" s="278" t="s">
        <v>17</v>
      </c>
      <c r="B1" s="279"/>
      <c r="C1" s="278"/>
      <c r="D1" s="280"/>
      <c r="E1" s="280"/>
      <c r="F1" s="280"/>
      <c r="G1" s="278"/>
      <c r="H1" s="278"/>
      <c r="I1" s="278"/>
      <c r="J1" s="280"/>
      <c r="K1" s="297"/>
      <c r="L1" s="279"/>
    </row>
    <row r="2" s="271" customFormat="1" ht="20.85" customHeight="1" spans="1:12">
      <c r="A2" s="112" t="s">
        <v>23</v>
      </c>
      <c r="B2" s="113"/>
      <c r="C2" s="112"/>
      <c r="D2" s="114"/>
      <c r="E2" s="114"/>
      <c r="F2" s="114"/>
      <c r="G2" s="112"/>
      <c r="H2" s="112"/>
      <c r="I2" s="112"/>
      <c r="J2" s="114"/>
      <c r="K2" s="242"/>
      <c r="L2" s="113"/>
    </row>
    <row r="3" ht="18" customHeight="1" spans="1:12">
      <c r="A3" s="115" t="s">
        <v>1</v>
      </c>
      <c r="B3" s="96" t="s">
        <v>2</v>
      </c>
      <c r="C3" s="230" t="s">
        <v>24</v>
      </c>
      <c r="D3" s="231"/>
      <c r="E3" s="231"/>
      <c r="F3" s="232"/>
      <c r="G3" s="230" t="s">
        <v>25</v>
      </c>
      <c r="H3" s="231"/>
      <c r="I3" s="231"/>
      <c r="J3" s="232"/>
      <c r="K3" s="243" t="s">
        <v>26</v>
      </c>
      <c r="L3" s="244" t="s">
        <v>27</v>
      </c>
    </row>
    <row r="4" ht="27.4" customHeight="1" spans="1:12">
      <c r="A4" s="115"/>
      <c r="B4" s="96"/>
      <c r="C4" s="96" t="s">
        <v>28</v>
      </c>
      <c r="D4" s="97" t="s">
        <v>29</v>
      </c>
      <c r="E4" s="116" t="s">
        <v>30</v>
      </c>
      <c r="F4" s="116" t="s">
        <v>31</v>
      </c>
      <c r="G4" s="97" t="s">
        <v>28</v>
      </c>
      <c r="H4" s="97" t="s">
        <v>29</v>
      </c>
      <c r="I4" s="116" t="s">
        <v>30</v>
      </c>
      <c r="J4" s="116" t="s">
        <v>31</v>
      </c>
      <c r="K4" s="245"/>
      <c r="L4" s="96"/>
    </row>
    <row r="5" s="272" customFormat="1" ht="18" customHeight="1" spans="1:12">
      <c r="A5" s="94" t="s">
        <v>32</v>
      </c>
      <c r="B5" s="95" t="s">
        <v>33</v>
      </c>
      <c r="C5" s="102"/>
      <c r="D5" s="233"/>
      <c r="E5" s="103"/>
      <c r="F5" s="281">
        <v>2030.11</v>
      </c>
      <c r="G5" s="282"/>
      <c r="H5" s="283"/>
      <c r="I5" s="283"/>
      <c r="J5" s="281">
        <f>J6+J8+J32</f>
        <v>2030.12</v>
      </c>
      <c r="K5" s="281">
        <f t="shared" ref="K5:K10" si="0">J5-F5</f>
        <v>0.01</v>
      </c>
      <c r="L5" s="298"/>
    </row>
    <row r="6" s="272" customFormat="1" ht="18" customHeight="1" outlineLevel="1" spans="1:12">
      <c r="A6" s="73" t="s">
        <v>34</v>
      </c>
      <c r="B6" s="74" t="s">
        <v>35</v>
      </c>
      <c r="C6" s="234"/>
      <c r="D6" s="235"/>
      <c r="E6" s="219"/>
      <c r="F6" s="284">
        <v>29.01</v>
      </c>
      <c r="G6" s="285"/>
      <c r="H6" s="286"/>
      <c r="I6" s="286"/>
      <c r="J6" s="284">
        <f>SUM(J7)</f>
        <v>29.01</v>
      </c>
      <c r="K6" s="284">
        <f t="shared" si="0"/>
        <v>0</v>
      </c>
      <c r="L6" s="299"/>
    </row>
    <row r="7" ht="18" customHeight="1" outlineLevel="2" spans="1:12">
      <c r="A7" s="76">
        <v>1</v>
      </c>
      <c r="B7" s="77" t="s">
        <v>228</v>
      </c>
      <c r="C7" s="78" t="s">
        <v>36</v>
      </c>
      <c r="D7" s="79">
        <v>1758</v>
      </c>
      <c r="E7" s="79">
        <v>165</v>
      </c>
      <c r="F7" s="287">
        <f>D7*E7/10000</f>
        <v>29.01</v>
      </c>
      <c r="G7" s="78" t="s">
        <v>36</v>
      </c>
      <c r="H7" s="79">
        <v>1758</v>
      </c>
      <c r="I7" s="79">
        <v>165</v>
      </c>
      <c r="J7" s="79">
        <f>H7*I7/10000</f>
        <v>29.01</v>
      </c>
      <c r="K7" s="287">
        <f t="shared" si="0"/>
        <v>0</v>
      </c>
      <c r="L7" s="300"/>
    </row>
    <row r="8" ht="18" customHeight="1" outlineLevel="1" spans="1:12">
      <c r="A8" s="73" t="s">
        <v>37</v>
      </c>
      <c r="B8" s="74" t="s">
        <v>38</v>
      </c>
      <c r="C8" s="288"/>
      <c r="D8" s="289"/>
      <c r="E8" s="219"/>
      <c r="F8" s="284">
        <v>824.1</v>
      </c>
      <c r="G8" s="82"/>
      <c r="H8" s="290"/>
      <c r="I8" s="290"/>
      <c r="J8" s="284">
        <f>SUM(J9:J31)</f>
        <v>824.1</v>
      </c>
      <c r="K8" s="284">
        <f t="shared" si="0"/>
        <v>0</v>
      </c>
      <c r="L8" s="268"/>
    </row>
    <row r="9" ht="18" customHeight="1" outlineLevel="2" spans="1:12">
      <c r="A9" s="76">
        <v>1</v>
      </c>
      <c r="B9" s="77" t="s">
        <v>229</v>
      </c>
      <c r="C9" s="78" t="s">
        <v>41</v>
      </c>
      <c r="D9" s="84">
        <v>2</v>
      </c>
      <c r="E9" s="79">
        <v>10690.32</v>
      </c>
      <c r="F9" s="287">
        <v>2.14</v>
      </c>
      <c r="G9" s="78" t="s">
        <v>41</v>
      </c>
      <c r="H9" s="84">
        <v>2</v>
      </c>
      <c r="I9" s="79">
        <v>10690.32</v>
      </c>
      <c r="J9" s="79">
        <f>H9*I9/10000</f>
        <v>2.14</v>
      </c>
      <c r="K9" s="287">
        <f t="shared" si="0"/>
        <v>0</v>
      </c>
      <c r="L9" s="251" t="s">
        <v>230</v>
      </c>
    </row>
    <row r="10" ht="18" customHeight="1" outlineLevel="2" spans="1:12">
      <c r="A10" s="76">
        <v>2</v>
      </c>
      <c r="B10" s="77" t="s">
        <v>229</v>
      </c>
      <c r="C10" s="78" t="s">
        <v>41</v>
      </c>
      <c r="D10" s="84">
        <v>2</v>
      </c>
      <c r="E10" s="79">
        <v>15565.5</v>
      </c>
      <c r="F10" s="287">
        <v>3.11</v>
      </c>
      <c r="G10" s="78" t="s">
        <v>41</v>
      </c>
      <c r="H10" s="84">
        <v>2</v>
      </c>
      <c r="I10" s="79">
        <v>15565.5</v>
      </c>
      <c r="J10" s="79">
        <f>H10*I10/10000</f>
        <v>3.11</v>
      </c>
      <c r="K10" s="287">
        <f t="shared" si="0"/>
        <v>0</v>
      </c>
      <c r="L10" s="251" t="s">
        <v>231</v>
      </c>
    </row>
    <row r="11" ht="18" customHeight="1" outlineLevel="2" spans="1:12">
      <c r="A11" s="76">
        <v>3</v>
      </c>
      <c r="B11" s="77" t="s">
        <v>129</v>
      </c>
      <c r="C11" s="78" t="s">
        <v>51</v>
      </c>
      <c r="D11" s="79">
        <v>1467.9</v>
      </c>
      <c r="E11" s="79">
        <v>1209.63</v>
      </c>
      <c r="F11" s="287">
        <v>177.56</v>
      </c>
      <c r="G11" s="78" t="s">
        <v>51</v>
      </c>
      <c r="H11" s="79">
        <v>1467.9</v>
      </c>
      <c r="I11" s="79">
        <v>1209.63</v>
      </c>
      <c r="J11" s="79">
        <f t="shared" ref="J11:J15" si="1">H11*I11/10000</f>
        <v>177.56</v>
      </c>
      <c r="K11" s="287">
        <f t="shared" ref="K11:K15" si="2">J11-F11</f>
        <v>0</v>
      </c>
      <c r="L11" s="300"/>
    </row>
    <row r="12" ht="18" customHeight="1" outlineLevel="2" spans="1:12">
      <c r="A12" s="76">
        <v>4</v>
      </c>
      <c r="B12" s="77" t="s">
        <v>130</v>
      </c>
      <c r="C12" s="78" t="s">
        <v>51</v>
      </c>
      <c r="D12" s="79">
        <v>935</v>
      </c>
      <c r="E12" s="79">
        <v>974.8</v>
      </c>
      <c r="F12" s="287">
        <v>91.14</v>
      </c>
      <c r="G12" s="78" t="s">
        <v>51</v>
      </c>
      <c r="H12" s="79">
        <v>935</v>
      </c>
      <c r="I12" s="79">
        <v>974.8</v>
      </c>
      <c r="J12" s="79">
        <f t="shared" si="1"/>
        <v>91.14</v>
      </c>
      <c r="K12" s="287">
        <f t="shared" si="2"/>
        <v>0</v>
      </c>
      <c r="L12" s="300"/>
    </row>
    <row r="13" ht="18" customHeight="1" outlineLevel="2" spans="1:12">
      <c r="A13" s="76">
        <v>5</v>
      </c>
      <c r="B13" s="77" t="s">
        <v>131</v>
      </c>
      <c r="C13" s="78" t="s">
        <v>51</v>
      </c>
      <c r="D13" s="79">
        <v>7673.15</v>
      </c>
      <c r="E13" s="79">
        <v>344.96</v>
      </c>
      <c r="F13" s="287">
        <v>264.69</v>
      </c>
      <c r="G13" s="78" t="s">
        <v>51</v>
      </c>
      <c r="H13" s="79">
        <v>7673.15</v>
      </c>
      <c r="I13" s="79">
        <v>344.96</v>
      </c>
      <c r="J13" s="79">
        <f t="shared" si="1"/>
        <v>264.69</v>
      </c>
      <c r="K13" s="287">
        <f t="shared" si="2"/>
        <v>0</v>
      </c>
      <c r="L13" s="300"/>
    </row>
    <row r="14" ht="18" customHeight="1" outlineLevel="2" spans="1:12">
      <c r="A14" s="76">
        <v>6</v>
      </c>
      <c r="B14" s="77" t="s">
        <v>232</v>
      </c>
      <c r="C14" s="78" t="s">
        <v>51</v>
      </c>
      <c r="D14" s="79">
        <v>819.08</v>
      </c>
      <c r="E14" s="79">
        <v>189.59</v>
      </c>
      <c r="F14" s="287">
        <v>15.53</v>
      </c>
      <c r="G14" s="78" t="s">
        <v>51</v>
      </c>
      <c r="H14" s="79">
        <v>819.08</v>
      </c>
      <c r="I14" s="79">
        <v>189.59</v>
      </c>
      <c r="J14" s="79">
        <f t="shared" si="1"/>
        <v>15.53</v>
      </c>
      <c r="K14" s="287">
        <f t="shared" si="2"/>
        <v>0</v>
      </c>
      <c r="L14" s="300"/>
    </row>
    <row r="15" ht="18" customHeight="1" outlineLevel="2" spans="1:12">
      <c r="A15" s="76">
        <v>7</v>
      </c>
      <c r="B15" s="77" t="s">
        <v>132</v>
      </c>
      <c r="C15" s="78" t="s">
        <v>51</v>
      </c>
      <c r="D15" s="79">
        <v>847</v>
      </c>
      <c r="E15" s="79">
        <v>69.52</v>
      </c>
      <c r="F15" s="287">
        <v>5.89</v>
      </c>
      <c r="G15" s="78" t="s">
        <v>51</v>
      </c>
      <c r="H15" s="79">
        <v>847</v>
      </c>
      <c r="I15" s="79">
        <v>69.52</v>
      </c>
      <c r="J15" s="79">
        <f t="shared" si="1"/>
        <v>5.89</v>
      </c>
      <c r="K15" s="287">
        <f t="shared" si="2"/>
        <v>0</v>
      </c>
      <c r="L15" s="300"/>
    </row>
    <row r="16" ht="18" customHeight="1" outlineLevel="2" spans="1:12">
      <c r="A16" s="76">
        <v>8</v>
      </c>
      <c r="B16" s="77" t="s">
        <v>133</v>
      </c>
      <c r="C16" s="78" t="s">
        <v>51</v>
      </c>
      <c r="D16" s="79">
        <v>50</v>
      </c>
      <c r="E16" s="79">
        <v>3193.73</v>
      </c>
      <c r="F16" s="287">
        <v>15.97</v>
      </c>
      <c r="G16" s="78" t="s">
        <v>51</v>
      </c>
      <c r="H16" s="79">
        <v>50</v>
      </c>
      <c r="I16" s="79">
        <v>3193.73</v>
      </c>
      <c r="J16" s="79">
        <f t="shared" ref="J16:J19" si="3">H16*I16/10000</f>
        <v>15.97</v>
      </c>
      <c r="K16" s="287">
        <f t="shared" ref="K16:K19" si="4">J16-F16</f>
        <v>0</v>
      </c>
      <c r="L16" s="251" t="s">
        <v>134</v>
      </c>
    </row>
    <row r="17" ht="18" customHeight="1" outlineLevel="2" spans="1:12">
      <c r="A17" s="76">
        <v>9</v>
      </c>
      <c r="B17" s="77" t="s">
        <v>135</v>
      </c>
      <c r="C17" s="78" t="s">
        <v>51</v>
      </c>
      <c r="D17" s="79">
        <v>50</v>
      </c>
      <c r="E17" s="79">
        <v>2792.07</v>
      </c>
      <c r="F17" s="287">
        <v>13.96</v>
      </c>
      <c r="G17" s="78" t="s">
        <v>51</v>
      </c>
      <c r="H17" s="79">
        <v>50</v>
      </c>
      <c r="I17" s="79">
        <v>2792.07</v>
      </c>
      <c r="J17" s="79">
        <f t="shared" si="3"/>
        <v>13.96</v>
      </c>
      <c r="K17" s="287">
        <f t="shared" si="4"/>
        <v>0</v>
      </c>
      <c r="L17" s="251" t="s">
        <v>134</v>
      </c>
    </row>
    <row r="18" ht="18" customHeight="1" outlineLevel="2" spans="1:12">
      <c r="A18" s="76">
        <v>10</v>
      </c>
      <c r="B18" s="77" t="s">
        <v>137</v>
      </c>
      <c r="C18" s="78" t="s">
        <v>51</v>
      </c>
      <c r="D18" s="79">
        <v>15</v>
      </c>
      <c r="E18" s="79">
        <v>1390.49</v>
      </c>
      <c r="F18" s="287">
        <v>2.09</v>
      </c>
      <c r="G18" s="78" t="s">
        <v>51</v>
      </c>
      <c r="H18" s="79">
        <v>15</v>
      </c>
      <c r="I18" s="79">
        <v>1390.49</v>
      </c>
      <c r="J18" s="79">
        <f t="shared" si="3"/>
        <v>2.09</v>
      </c>
      <c r="K18" s="287">
        <f t="shared" si="4"/>
        <v>0</v>
      </c>
      <c r="L18" s="251" t="s">
        <v>134</v>
      </c>
    </row>
    <row r="19" ht="18" customHeight="1" outlineLevel="2" spans="1:12">
      <c r="A19" s="76">
        <v>11</v>
      </c>
      <c r="B19" s="77" t="s">
        <v>233</v>
      </c>
      <c r="C19" s="78" t="s">
        <v>51</v>
      </c>
      <c r="D19" s="79">
        <v>15</v>
      </c>
      <c r="E19" s="79">
        <v>792.89</v>
      </c>
      <c r="F19" s="287">
        <v>1.19</v>
      </c>
      <c r="G19" s="78" t="s">
        <v>51</v>
      </c>
      <c r="H19" s="79">
        <v>15</v>
      </c>
      <c r="I19" s="79">
        <v>792.89</v>
      </c>
      <c r="J19" s="79">
        <f t="shared" si="3"/>
        <v>1.19</v>
      </c>
      <c r="K19" s="287">
        <f t="shared" si="4"/>
        <v>0</v>
      </c>
      <c r="L19" s="300"/>
    </row>
    <row r="20" ht="18" customHeight="1" outlineLevel="2" spans="1:12">
      <c r="A20" s="76">
        <v>12</v>
      </c>
      <c r="B20" s="77" t="s">
        <v>139</v>
      </c>
      <c r="C20" s="78" t="s">
        <v>95</v>
      </c>
      <c r="D20" s="84">
        <v>1</v>
      </c>
      <c r="E20" s="79">
        <v>588019.72</v>
      </c>
      <c r="F20" s="287">
        <v>58.8</v>
      </c>
      <c r="G20" s="78" t="s">
        <v>95</v>
      </c>
      <c r="H20" s="84">
        <v>1</v>
      </c>
      <c r="I20" s="79">
        <v>588019.72</v>
      </c>
      <c r="J20" s="79">
        <f t="shared" ref="J20" si="5">H20*I20/10000</f>
        <v>58.8</v>
      </c>
      <c r="K20" s="287">
        <f t="shared" ref="K20" si="6">J20-F20</f>
        <v>0</v>
      </c>
      <c r="L20" s="300"/>
    </row>
    <row r="21" ht="18" customHeight="1" outlineLevel="2" spans="1:12">
      <c r="A21" s="76">
        <v>13</v>
      </c>
      <c r="B21" s="77" t="s">
        <v>146</v>
      </c>
      <c r="C21" s="78" t="s">
        <v>41</v>
      </c>
      <c r="D21" s="84">
        <v>365</v>
      </c>
      <c r="E21" s="79">
        <v>286.22</v>
      </c>
      <c r="F21" s="287">
        <v>10.45</v>
      </c>
      <c r="G21" s="78" t="s">
        <v>41</v>
      </c>
      <c r="H21" s="84">
        <v>365</v>
      </c>
      <c r="I21" s="79">
        <v>286.22</v>
      </c>
      <c r="J21" s="79">
        <f t="shared" ref="J21" si="7">H21*I21/10000</f>
        <v>10.45</v>
      </c>
      <c r="K21" s="287">
        <f t="shared" ref="K21" si="8">J21-F21</f>
        <v>0</v>
      </c>
      <c r="L21" s="300"/>
    </row>
    <row r="22" ht="18" customHeight="1" outlineLevel="2" spans="1:12">
      <c r="A22" s="76">
        <v>14</v>
      </c>
      <c r="B22" s="77" t="s">
        <v>234</v>
      </c>
      <c r="C22" s="78" t="s">
        <v>41</v>
      </c>
      <c r="D22" s="84">
        <v>11</v>
      </c>
      <c r="E22" s="79">
        <v>18979.61</v>
      </c>
      <c r="F22" s="287">
        <v>20.88</v>
      </c>
      <c r="G22" s="78" t="s">
        <v>41</v>
      </c>
      <c r="H22" s="84">
        <v>11</v>
      </c>
      <c r="I22" s="79">
        <v>18979.61</v>
      </c>
      <c r="J22" s="79">
        <f t="shared" ref="J22:J23" si="9">H22*I22/10000</f>
        <v>20.88</v>
      </c>
      <c r="K22" s="287">
        <f t="shared" ref="K22:K23" si="10">J22-F22</f>
        <v>0</v>
      </c>
      <c r="L22" s="251" t="s">
        <v>150</v>
      </c>
    </row>
    <row r="23" ht="18" customHeight="1" outlineLevel="2" spans="1:12">
      <c r="A23" s="76">
        <v>15</v>
      </c>
      <c r="B23" s="77" t="s">
        <v>235</v>
      </c>
      <c r="C23" s="78" t="s">
        <v>41</v>
      </c>
      <c r="D23" s="84">
        <v>8</v>
      </c>
      <c r="E23" s="79">
        <v>21388.2</v>
      </c>
      <c r="F23" s="287">
        <v>17.11</v>
      </c>
      <c r="G23" s="78" t="s">
        <v>41</v>
      </c>
      <c r="H23" s="84">
        <v>8</v>
      </c>
      <c r="I23" s="79">
        <v>21388.2</v>
      </c>
      <c r="J23" s="79">
        <f t="shared" si="9"/>
        <v>17.11</v>
      </c>
      <c r="K23" s="287">
        <f t="shared" si="10"/>
        <v>0</v>
      </c>
      <c r="L23" s="251" t="s">
        <v>236</v>
      </c>
    </row>
    <row r="24" ht="18" customHeight="1" outlineLevel="2" spans="1:12">
      <c r="A24" s="76">
        <v>16</v>
      </c>
      <c r="B24" s="77" t="s">
        <v>237</v>
      </c>
      <c r="C24" s="78" t="s">
        <v>51</v>
      </c>
      <c r="D24" s="79">
        <v>114</v>
      </c>
      <c r="E24" s="79">
        <v>4445.93</v>
      </c>
      <c r="F24" s="287">
        <v>50.68</v>
      </c>
      <c r="G24" s="78" t="s">
        <v>51</v>
      </c>
      <c r="H24" s="79">
        <v>114</v>
      </c>
      <c r="I24" s="79">
        <v>4445.93</v>
      </c>
      <c r="J24" s="79">
        <f t="shared" ref="J24:J27" si="11">H24*I24/10000</f>
        <v>50.68</v>
      </c>
      <c r="K24" s="287">
        <f t="shared" ref="K24:K27" si="12">J24-F24</f>
        <v>0</v>
      </c>
      <c r="L24" s="300"/>
    </row>
    <row r="25" ht="18" customHeight="1" outlineLevel="2" spans="1:12">
      <c r="A25" s="76">
        <v>17</v>
      </c>
      <c r="B25" s="77" t="s">
        <v>238</v>
      </c>
      <c r="C25" s="78" t="s">
        <v>51</v>
      </c>
      <c r="D25" s="79">
        <v>64</v>
      </c>
      <c r="E25" s="79">
        <v>3295.21</v>
      </c>
      <c r="F25" s="287">
        <v>21.09</v>
      </c>
      <c r="G25" s="78" t="s">
        <v>51</v>
      </c>
      <c r="H25" s="79">
        <v>64</v>
      </c>
      <c r="I25" s="79">
        <v>3295.21</v>
      </c>
      <c r="J25" s="79">
        <f t="shared" si="11"/>
        <v>21.09</v>
      </c>
      <c r="K25" s="287">
        <f t="shared" si="12"/>
        <v>0</v>
      </c>
      <c r="L25" s="300"/>
    </row>
    <row r="26" ht="18" customHeight="1" outlineLevel="2" spans="1:12">
      <c r="A26" s="76">
        <v>18</v>
      </c>
      <c r="B26" s="77" t="s">
        <v>239</v>
      </c>
      <c r="C26" s="78" t="s">
        <v>51</v>
      </c>
      <c r="D26" s="79">
        <v>81</v>
      </c>
      <c r="E26" s="79">
        <v>1984.89</v>
      </c>
      <c r="F26" s="287">
        <v>16.08</v>
      </c>
      <c r="G26" s="78" t="s">
        <v>51</v>
      </c>
      <c r="H26" s="79">
        <v>81</v>
      </c>
      <c r="I26" s="79">
        <v>1984.89</v>
      </c>
      <c r="J26" s="79">
        <f t="shared" si="11"/>
        <v>16.08</v>
      </c>
      <c r="K26" s="287">
        <f t="shared" si="12"/>
        <v>0</v>
      </c>
      <c r="L26" s="300"/>
    </row>
    <row r="27" ht="18" customHeight="1" outlineLevel="2" spans="1:12">
      <c r="A27" s="76">
        <v>19</v>
      </c>
      <c r="B27" s="77" t="s">
        <v>240</v>
      </c>
      <c r="C27" s="78" t="s">
        <v>51</v>
      </c>
      <c r="D27" s="79">
        <v>36</v>
      </c>
      <c r="E27" s="79">
        <v>1290.35</v>
      </c>
      <c r="F27" s="287">
        <v>4.65</v>
      </c>
      <c r="G27" s="78" t="s">
        <v>51</v>
      </c>
      <c r="H27" s="79">
        <v>36</v>
      </c>
      <c r="I27" s="79">
        <v>1290.35</v>
      </c>
      <c r="J27" s="79">
        <f t="shared" si="11"/>
        <v>4.65</v>
      </c>
      <c r="K27" s="287">
        <f t="shared" si="12"/>
        <v>0</v>
      </c>
      <c r="L27" s="300"/>
    </row>
    <row r="28" ht="18" customHeight="1" outlineLevel="2" spans="1:12">
      <c r="A28" s="76">
        <v>20</v>
      </c>
      <c r="B28" s="77" t="s">
        <v>241</v>
      </c>
      <c r="C28" s="78" t="s">
        <v>60</v>
      </c>
      <c r="D28" s="84">
        <v>18</v>
      </c>
      <c r="E28" s="79">
        <v>7474.71</v>
      </c>
      <c r="F28" s="287">
        <v>13.45</v>
      </c>
      <c r="G28" s="78" t="s">
        <v>60</v>
      </c>
      <c r="H28" s="84">
        <v>18</v>
      </c>
      <c r="I28" s="79">
        <v>7474.71</v>
      </c>
      <c r="J28" s="79">
        <f t="shared" ref="J28:J31" si="13">H28*I28/10000</f>
        <v>13.45</v>
      </c>
      <c r="K28" s="287">
        <f t="shared" ref="K28:K33" si="14">J28-F28</f>
        <v>0</v>
      </c>
      <c r="L28" s="251" t="s">
        <v>159</v>
      </c>
    </row>
    <row r="29" ht="18" customHeight="1" outlineLevel="2" spans="1:12">
      <c r="A29" s="76">
        <v>21</v>
      </c>
      <c r="B29" s="77" t="s">
        <v>242</v>
      </c>
      <c r="C29" s="78" t="s">
        <v>60</v>
      </c>
      <c r="D29" s="84">
        <v>12</v>
      </c>
      <c r="E29" s="79">
        <v>7474.71</v>
      </c>
      <c r="F29" s="287">
        <v>8.97</v>
      </c>
      <c r="G29" s="78" t="s">
        <v>60</v>
      </c>
      <c r="H29" s="84">
        <v>12</v>
      </c>
      <c r="I29" s="79">
        <v>7474.71</v>
      </c>
      <c r="J29" s="79">
        <f t="shared" si="13"/>
        <v>8.97</v>
      </c>
      <c r="K29" s="287">
        <f t="shared" si="14"/>
        <v>0</v>
      </c>
      <c r="L29" s="300"/>
    </row>
    <row r="30" ht="18" customHeight="1" outlineLevel="2" spans="1:12">
      <c r="A30" s="76">
        <v>22</v>
      </c>
      <c r="B30" s="77" t="s">
        <v>243</v>
      </c>
      <c r="C30" s="78" t="s">
        <v>60</v>
      </c>
      <c r="D30" s="84">
        <v>13</v>
      </c>
      <c r="E30" s="79">
        <v>4563.54</v>
      </c>
      <c r="F30" s="287">
        <v>5.93</v>
      </c>
      <c r="G30" s="78" t="s">
        <v>60</v>
      </c>
      <c r="H30" s="84">
        <v>13</v>
      </c>
      <c r="I30" s="79">
        <v>4563.54</v>
      </c>
      <c r="J30" s="79">
        <f t="shared" si="13"/>
        <v>5.93</v>
      </c>
      <c r="K30" s="287">
        <f t="shared" si="14"/>
        <v>0</v>
      </c>
      <c r="L30" s="300"/>
    </row>
    <row r="31" ht="18" customHeight="1" outlineLevel="2" spans="1:12">
      <c r="A31" s="76">
        <v>23</v>
      </c>
      <c r="B31" s="77" t="s">
        <v>244</v>
      </c>
      <c r="C31" s="78" t="s">
        <v>60</v>
      </c>
      <c r="D31" s="84">
        <v>6</v>
      </c>
      <c r="E31" s="79">
        <v>4563.54</v>
      </c>
      <c r="F31" s="287">
        <v>2.74</v>
      </c>
      <c r="G31" s="78" t="s">
        <v>60</v>
      </c>
      <c r="H31" s="84">
        <v>6</v>
      </c>
      <c r="I31" s="79">
        <v>4563.54</v>
      </c>
      <c r="J31" s="79">
        <f t="shared" si="13"/>
        <v>2.74</v>
      </c>
      <c r="K31" s="287">
        <f t="shared" si="14"/>
        <v>0</v>
      </c>
      <c r="L31" s="300"/>
    </row>
    <row r="32" ht="18" customHeight="1" outlineLevel="1" spans="1:12">
      <c r="A32" s="73" t="s">
        <v>71</v>
      </c>
      <c r="B32" s="74" t="s">
        <v>72</v>
      </c>
      <c r="C32" s="234"/>
      <c r="D32" s="84"/>
      <c r="E32" s="79"/>
      <c r="F32" s="284">
        <v>1177.01</v>
      </c>
      <c r="G32" s="90"/>
      <c r="H32" s="291"/>
      <c r="I32" s="296"/>
      <c r="J32" s="284">
        <f>SUM(J33:J35)</f>
        <v>1177.01</v>
      </c>
      <c r="K32" s="284">
        <f t="shared" si="14"/>
        <v>0</v>
      </c>
      <c r="L32" s="255"/>
    </row>
    <row r="33" ht="18" customHeight="1" outlineLevel="2" spans="1:12">
      <c r="A33" s="76" t="s">
        <v>39</v>
      </c>
      <c r="B33" s="77" t="s">
        <v>245</v>
      </c>
      <c r="C33" s="78" t="s">
        <v>74</v>
      </c>
      <c r="D33" s="79">
        <v>33423</v>
      </c>
      <c r="E33" s="79">
        <v>217.7</v>
      </c>
      <c r="F33" s="287">
        <v>727.62</v>
      </c>
      <c r="G33" s="78" t="s">
        <v>74</v>
      </c>
      <c r="H33" s="79">
        <v>33423</v>
      </c>
      <c r="I33" s="79">
        <v>217.7</v>
      </c>
      <c r="J33" s="79">
        <f>H33*I33/10000</f>
        <v>727.62</v>
      </c>
      <c r="K33" s="287">
        <f t="shared" si="14"/>
        <v>0</v>
      </c>
      <c r="L33" s="256" t="s">
        <v>246</v>
      </c>
    </row>
    <row r="34" ht="18" customHeight="1" outlineLevel="2" spans="1:12">
      <c r="A34" s="76" t="s">
        <v>52</v>
      </c>
      <c r="B34" s="77" t="s">
        <v>247</v>
      </c>
      <c r="C34" s="78" t="s">
        <v>74</v>
      </c>
      <c r="D34" s="79">
        <v>19400.26</v>
      </c>
      <c r="E34" s="79">
        <v>212.77</v>
      </c>
      <c r="F34" s="287">
        <v>412.78</v>
      </c>
      <c r="G34" s="78" t="s">
        <v>74</v>
      </c>
      <c r="H34" s="79">
        <v>19400.26</v>
      </c>
      <c r="I34" s="79">
        <v>212.77</v>
      </c>
      <c r="J34" s="79">
        <f t="shared" ref="J34:J35" si="15">H34*I34/10000</f>
        <v>412.78</v>
      </c>
      <c r="K34" s="287">
        <f t="shared" ref="K34:K37" si="16">J34-F34</f>
        <v>0</v>
      </c>
      <c r="L34" s="256" t="s">
        <v>75</v>
      </c>
    </row>
    <row r="35" ht="18" customHeight="1" outlineLevel="2" spans="1:12">
      <c r="A35" s="76" t="s">
        <v>78</v>
      </c>
      <c r="B35" s="77" t="s">
        <v>170</v>
      </c>
      <c r="C35" s="78" t="s">
        <v>60</v>
      </c>
      <c r="D35" s="84">
        <v>108</v>
      </c>
      <c r="E35" s="79">
        <v>3389.86</v>
      </c>
      <c r="F35" s="287">
        <v>36.61</v>
      </c>
      <c r="G35" s="78" t="s">
        <v>60</v>
      </c>
      <c r="H35" s="84">
        <v>108</v>
      </c>
      <c r="I35" s="79">
        <v>3389.86</v>
      </c>
      <c r="J35" s="79">
        <f t="shared" si="15"/>
        <v>36.61</v>
      </c>
      <c r="K35" s="287">
        <f t="shared" si="16"/>
        <v>0</v>
      </c>
      <c r="L35" s="256" t="s">
        <v>248</v>
      </c>
    </row>
    <row r="36" s="272" customFormat="1" ht="18" customHeight="1" spans="1:12">
      <c r="A36" s="94" t="s">
        <v>100</v>
      </c>
      <c r="B36" s="95" t="s">
        <v>101</v>
      </c>
      <c r="C36" s="102"/>
      <c r="D36" s="233"/>
      <c r="E36" s="103"/>
      <c r="F36" s="281">
        <v>214.97</v>
      </c>
      <c r="G36" s="282"/>
      <c r="H36" s="283"/>
      <c r="I36" s="283"/>
      <c r="J36" s="103">
        <f>SUM(J37:J45)</f>
        <v>164.93</v>
      </c>
      <c r="K36" s="103">
        <f t="shared" si="16"/>
        <v>-50.04</v>
      </c>
      <c r="L36" s="259">
        <f>J36/J46</f>
        <v>0.0751</v>
      </c>
    </row>
    <row r="37" ht="18" customHeight="1" spans="1:12">
      <c r="A37" s="239">
        <v>1</v>
      </c>
      <c r="B37" s="99" t="s">
        <v>102</v>
      </c>
      <c r="C37" s="292"/>
      <c r="D37" s="292"/>
      <c r="E37" s="240"/>
      <c r="F37" s="93">
        <v>50.3</v>
      </c>
      <c r="G37" s="100"/>
      <c r="H37" s="293"/>
      <c r="I37" s="296"/>
      <c r="J37" s="93">
        <v>30</v>
      </c>
      <c r="K37" s="93">
        <f t="shared" si="16"/>
        <v>-20.3</v>
      </c>
      <c r="L37" s="256" t="s">
        <v>103</v>
      </c>
    </row>
    <row r="38" ht="18" customHeight="1" spans="1:12">
      <c r="A38" s="239">
        <v>2</v>
      </c>
      <c r="B38" s="99" t="s">
        <v>104</v>
      </c>
      <c r="C38" s="292"/>
      <c r="D38" s="292"/>
      <c r="E38" s="240"/>
      <c r="F38" s="93"/>
      <c r="G38" s="100"/>
      <c r="H38" s="293"/>
      <c r="I38" s="296"/>
      <c r="J38" s="260"/>
      <c r="K38" s="83"/>
      <c r="L38" s="256"/>
    </row>
    <row r="39" s="272" customFormat="1" ht="18" customHeight="1" spans="1:12">
      <c r="A39" s="76" t="s">
        <v>43</v>
      </c>
      <c r="B39" s="148" t="s">
        <v>105</v>
      </c>
      <c r="C39" s="292"/>
      <c r="D39" s="292"/>
      <c r="E39" s="240"/>
      <c r="F39" s="93">
        <v>40.35</v>
      </c>
      <c r="G39" s="294"/>
      <c r="H39" s="286"/>
      <c r="I39" s="286"/>
      <c r="J39" s="93">
        <f>(30.1+(J5-1000)*(48/2000))*0.9*0.85</f>
        <v>41.94</v>
      </c>
      <c r="K39" s="93">
        <f>J39-F39</f>
        <v>1.59</v>
      </c>
      <c r="L39" s="256" t="s">
        <v>106</v>
      </c>
    </row>
    <row r="40" s="272" customFormat="1" ht="18" customHeight="1" spans="1:12">
      <c r="A40" s="76" t="s">
        <v>46</v>
      </c>
      <c r="B40" s="148" t="s">
        <v>107</v>
      </c>
      <c r="C40" s="292"/>
      <c r="D40" s="292"/>
      <c r="E40" s="240"/>
      <c r="F40" s="93">
        <v>14.47</v>
      </c>
      <c r="G40" s="294"/>
      <c r="H40" s="286"/>
      <c r="I40" s="286"/>
      <c r="J40" s="93">
        <f>6.8+(J47-1000)*0.6%</f>
        <v>14.14</v>
      </c>
      <c r="K40" s="93">
        <f>J40-F40</f>
        <v>-0.33</v>
      </c>
      <c r="L40" s="261" t="s">
        <v>108</v>
      </c>
    </row>
    <row r="41" ht="18" customHeight="1" spans="1:12">
      <c r="A41" s="239">
        <v>3</v>
      </c>
      <c r="B41" s="99" t="s">
        <v>109</v>
      </c>
      <c r="C41" s="292"/>
      <c r="D41" s="295"/>
      <c r="E41" s="241"/>
      <c r="F41" s="93">
        <v>17.27</v>
      </c>
      <c r="G41" s="296"/>
      <c r="H41" s="293"/>
      <c r="I41" s="296"/>
      <c r="J41" s="93">
        <f>3.1+(J5-1000)*0.285%</f>
        <v>6.04</v>
      </c>
      <c r="K41" s="93">
        <f>J41-F41</f>
        <v>-11.23</v>
      </c>
      <c r="L41" s="262"/>
    </row>
    <row r="42" ht="18" customHeight="1" spans="1:12">
      <c r="A42" s="239" t="s">
        <v>80</v>
      </c>
      <c r="B42" s="99" t="s">
        <v>112</v>
      </c>
      <c r="C42" s="292"/>
      <c r="D42" s="295"/>
      <c r="E42" s="241"/>
      <c r="F42" s="93"/>
      <c r="G42" s="296"/>
      <c r="H42" s="293"/>
      <c r="I42" s="296"/>
      <c r="J42" s="296"/>
      <c r="K42" s="83"/>
      <c r="L42" s="262"/>
    </row>
    <row r="43" ht="18" customHeight="1" spans="1:12">
      <c r="A43" s="76" t="s">
        <v>43</v>
      </c>
      <c r="B43" s="148" t="s">
        <v>113</v>
      </c>
      <c r="C43" s="292"/>
      <c r="D43" s="292"/>
      <c r="E43" s="240"/>
      <c r="F43" s="93">
        <v>20.3</v>
      </c>
      <c r="G43" s="296"/>
      <c r="H43" s="293"/>
      <c r="I43" s="296"/>
      <c r="J43" s="93">
        <f>2000*1%+(J5-2000)*0.5%</f>
        <v>20.15</v>
      </c>
      <c r="K43" s="93">
        <f>J43-F43</f>
        <v>-0.15</v>
      </c>
      <c r="L43" s="262" t="s">
        <v>114</v>
      </c>
    </row>
    <row r="44" ht="18" customHeight="1" spans="1:12">
      <c r="A44" s="76" t="s">
        <v>46</v>
      </c>
      <c r="B44" s="148" t="s">
        <v>115</v>
      </c>
      <c r="C44" s="292"/>
      <c r="D44" s="292"/>
      <c r="E44" s="240"/>
      <c r="F44" s="93">
        <v>72.28</v>
      </c>
      <c r="G44" s="296"/>
      <c r="H44" s="293"/>
      <c r="I44" s="296"/>
      <c r="J44" s="93">
        <f>(38.8+(J5-1000)*3.25%)*0.8*0.85</f>
        <v>49.15</v>
      </c>
      <c r="K44" s="93">
        <f>J44-F44</f>
        <v>-23.13</v>
      </c>
      <c r="L44" s="262" t="s">
        <v>116</v>
      </c>
    </row>
    <row r="45" ht="18" customHeight="1" spans="1:12">
      <c r="A45" s="239" t="s">
        <v>85</v>
      </c>
      <c r="B45" s="99" t="s">
        <v>117</v>
      </c>
      <c r="C45" s="292"/>
      <c r="D45" s="292"/>
      <c r="E45" s="240"/>
      <c r="F45" s="93"/>
      <c r="G45" s="296"/>
      <c r="H45" s="293"/>
      <c r="I45" s="296"/>
      <c r="J45" s="93">
        <f>3.3+(J47-2000)*0.094%</f>
        <v>3.51</v>
      </c>
      <c r="K45" s="93">
        <f>J45-F45</f>
        <v>3.51</v>
      </c>
      <c r="L45" s="263" t="s">
        <v>118</v>
      </c>
    </row>
    <row r="46" s="272" customFormat="1" ht="18" customHeight="1" spans="1:12">
      <c r="A46" s="94" t="s">
        <v>119</v>
      </c>
      <c r="B46" s="95" t="s">
        <v>120</v>
      </c>
      <c r="C46" s="102" t="s">
        <v>36</v>
      </c>
      <c r="D46" s="103">
        <v>1758</v>
      </c>
      <c r="E46" s="103">
        <f>F46*10000/D46</f>
        <v>12770.71</v>
      </c>
      <c r="F46" s="281">
        <v>2245.09</v>
      </c>
      <c r="G46" s="282" t="s">
        <v>36</v>
      </c>
      <c r="H46" s="98">
        <v>2394</v>
      </c>
      <c r="I46" s="301">
        <f>J46/H46*10000</f>
        <v>9168.96</v>
      </c>
      <c r="J46" s="98">
        <f>J5+J36</f>
        <v>2195.05</v>
      </c>
      <c r="K46" s="98">
        <f>J46-F46</f>
        <v>-50.04</v>
      </c>
      <c r="L46" s="298"/>
    </row>
    <row r="47" customHeight="1" spans="9:12">
      <c r="I47" s="265" t="s">
        <v>121</v>
      </c>
      <c r="J47" s="266">
        <v>2223.7</v>
      </c>
      <c r="L47" s="267">
        <f>K46/F46</f>
        <v>-0.022</v>
      </c>
    </row>
    <row r="49" customHeight="1" spans="10:10">
      <c r="J49" s="302"/>
    </row>
  </sheetData>
  <mergeCells count="8">
    <mergeCell ref="A1:L1"/>
    <mergeCell ref="A2:L2"/>
    <mergeCell ref="C3:F3"/>
    <mergeCell ref="G3:J3"/>
    <mergeCell ref="A3:A4"/>
    <mergeCell ref="B3:B4"/>
    <mergeCell ref="K3:K4"/>
    <mergeCell ref="L3:L4"/>
  </mergeCells>
  <printOptions horizontalCentered="1"/>
  <pageMargins left="0.393055555555556" right="0.393055555555556" top="0.590277777777778" bottom="0.786805555555556" header="0.313888888888889" footer="0.590277777777778"/>
  <pageSetup paperSize="9" scale="78" fitToHeight="0" orientation="landscape"/>
  <headerFooter>
    <oddFooter>&amp;C&amp;10&amp;P/&amp;N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outlinePr summaryBelow="0" summaryRight="0"/>
    <pageSetUpPr fitToPage="1"/>
  </sheetPr>
  <dimension ref="A1:P61"/>
  <sheetViews>
    <sheetView zoomScale="85" zoomScaleNormal="85" workbookViewId="0">
      <pane ySplit="4" topLeftCell="A5" activePane="bottomLeft" state="frozen"/>
      <selection/>
      <selection pane="bottomLeft" activeCell="L39" sqref="L39"/>
    </sheetView>
  </sheetViews>
  <sheetFormatPr defaultColWidth="8.875" defaultRowHeight="20.1" customHeight="1"/>
  <cols>
    <col min="1" max="1" width="5.125" style="64" customWidth="1"/>
    <col min="2" max="2" width="26.625" style="65" customWidth="1"/>
    <col min="3" max="3" width="6.5" style="30" customWidth="1"/>
    <col min="4" max="4" width="10.625" style="30" customWidth="1"/>
    <col min="5" max="6" width="12.625" style="30" customWidth="1"/>
    <col min="7" max="7" width="5.375" style="66" customWidth="1"/>
    <col min="8" max="8" width="10.125" style="30" customWidth="1"/>
    <col min="9" max="9" width="11.5" style="66" customWidth="1"/>
    <col min="10" max="10" width="10.125" style="66" customWidth="1"/>
    <col min="11" max="11" width="10.125" style="228" customWidth="1"/>
    <col min="12" max="12" width="38.5" style="65" customWidth="1"/>
    <col min="13" max="16384" width="8.875" style="30"/>
  </cols>
  <sheetData>
    <row r="1" s="62" customFormat="1" ht="20.85" customHeight="1" spans="1:12">
      <c r="A1" s="112" t="s">
        <v>18</v>
      </c>
      <c r="B1" s="113"/>
      <c r="C1" s="112"/>
      <c r="D1" s="114"/>
      <c r="E1" s="114"/>
      <c r="F1" s="114"/>
      <c r="G1" s="112"/>
      <c r="H1" s="112"/>
      <c r="I1" s="112"/>
      <c r="J1" s="114"/>
      <c r="K1" s="242"/>
      <c r="L1" s="113"/>
    </row>
    <row r="2" s="62" customFormat="1" ht="20.85" customHeight="1" spans="1:12">
      <c r="A2" s="112" t="s">
        <v>23</v>
      </c>
      <c r="B2" s="113"/>
      <c r="C2" s="112"/>
      <c r="D2" s="114"/>
      <c r="E2" s="114"/>
      <c r="F2" s="114"/>
      <c r="G2" s="112"/>
      <c r="H2" s="112"/>
      <c r="I2" s="112"/>
      <c r="J2" s="114"/>
      <c r="K2" s="242"/>
      <c r="L2" s="113"/>
    </row>
    <row r="3" ht="18" customHeight="1" spans="1:12">
      <c r="A3" s="115" t="s">
        <v>1</v>
      </c>
      <c r="B3" s="96" t="s">
        <v>2</v>
      </c>
      <c r="C3" s="230" t="s">
        <v>24</v>
      </c>
      <c r="D3" s="231"/>
      <c r="E3" s="231"/>
      <c r="F3" s="232"/>
      <c r="G3" s="230" t="s">
        <v>25</v>
      </c>
      <c r="H3" s="231"/>
      <c r="I3" s="231"/>
      <c r="J3" s="232"/>
      <c r="K3" s="243" t="s">
        <v>26</v>
      </c>
      <c r="L3" s="244" t="s">
        <v>27</v>
      </c>
    </row>
    <row r="4" ht="27.4" customHeight="1" spans="1:12">
      <c r="A4" s="115"/>
      <c r="B4" s="96"/>
      <c r="C4" s="96" t="s">
        <v>28</v>
      </c>
      <c r="D4" s="97" t="s">
        <v>29</v>
      </c>
      <c r="E4" s="116" t="s">
        <v>30</v>
      </c>
      <c r="F4" s="116" t="s">
        <v>31</v>
      </c>
      <c r="G4" s="97" t="s">
        <v>28</v>
      </c>
      <c r="H4" s="97" t="s">
        <v>29</v>
      </c>
      <c r="I4" s="116" t="s">
        <v>30</v>
      </c>
      <c r="J4" s="116" t="s">
        <v>31</v>
      </c>
      <c r="K4" s="245"/>
      <c r="L4" s="96"/>
    </row>
    <row r="5" s="63" customFormat="1" ht="18" customHeight="1" spans="1:12">
      <c r="A5" s="94" t="s">
        <v>32</v>
      </c>
      <c r="B5" s="95" t="s">
        <v>33</v>
      </c>
      <c r="C5" s="102"/>
      <c r="D5" s="233"/>
      <c r="E5" s="103"/>
      <c r="F5" s="98">
        <v>1350.65</v>
      </c>
      <c r="G5" s="96"/>
      <c r="H5" s="97"/>
      <c r="I5" s="97"/>
      <c r="J5" s="98">
        <f>J6+J8+J29+J32</f>
        <v>1279.6</v>
      </c>
      <c r="K5" s="98">
        <f t="shared" ref="K5:K14" si="0">J5-F5</f>
        <v>-71.05</v>
      </c>
      <c r="L5" s="246"/>
    </row>
    <row r="6" s="63" customFormat="1" ht="18" customHeight="1" outlineLevel="1" spans="1:12">
      <c r="A6" s="73" t="s">
        <v>34</v>
      </c>
      <c r="B6" s="74" t="s">
        <v>35</v>
      </c>
      <c r="C6" s="234"/>
      <c r="D6" s="235"/>
      <c r="E6" s="219"/>
      <c r="F6" s="75">
        <v>15.79</v>
      </c>
      <c r="G6" s="70"/>
      <c r="H6" s="71"/>
      <c r="I6" s="71"/>
      <c r="J6" s="75">
        <f>SUM(J7)</f>
        <v>15.79</v>
      </c>
      <c r="K6" s="75">
        <f t="shared" si="0"/>
        <v>0</v>
      </c>
      <c r="L6" s="248"/>
    </row>
    <row r="7" s="63" customFormat="1" ht="18" customHeight="1" outlineLevel="2" spans="1:12">
      <c r="A7" s="76"/>
      <c r="B7" s="77" t="s">
        <v>123</v>
      </c>
      <c r="C7" s="78" t="s">
        <v>36</v>
      </c>
      <c r="D7" s="79">
        <v>318.9</v>
      </c>
      <c r="E7" s="79">
        <v>495</v>
      </c>
      <c r="F7" s="80">
        <v>15.79</v>
      </c>
      <c r="G7" s="78" t="s">
        <v>36</v>
      </c>
      <c r="H7" s="79">
        <v>318.9</v>
      </c>
      <c r="I7" s="79">
        <v>495</v>
      </c>
      <c r="J7" s="79">
        <f>H7*I7/10000</f>
        <v>15.79</v>
      </c>
      <c r="K7" s="80">
        <f t="shared" si="0"/>
        <v>0</v>
      </c>
      <c r="L7" s="248"/>
    </row>
    <row r="8" ht="18" customHeight="1" outlineLevel="1" spans="1:12">
      <c r="A8" s="73" t="s">
        <v>37</v>
      </c>
      <c r="B8" s="74" t="s">
        <v>38</v>
      </c>
      <c r="C8" s="234"/>
      <c r="D8" s="84"/>
      <c r="E8" s="219"/>
      <c r="F8" s="75">
        <v>971.02</v>
      </c>
      <c r="G8" s="82"/>
      <c r="H8" s="83"/>
      <c r="I8" s="79"/>
      <c r="J8" s="75">
        <f>SUM(J9,J14,J27)</f>
        <v>899.97</v>
      </c>
      <c r="K8" s="75">
        <f t="shared" si="0"/>
        <v>-71.05</v>
      </c>
      <c r="L8" s="250"/>
    </row>
    <row r="9" ht="18" customHeight="1" outlineLevel="2" spans="1:12">
      <c r="A9" s="76">
        <v>1</v>
      </c>
      <c r="B9" s="77" t="s">
        <v>249</v>
      </c>
      <c r="C9" s="78" t="s">
        <v>41</v>
      </c>
      <c r="D9" s="84">
        <v>3</v>
      </c>
      <c r="E9" s="79"/>
      <c r="F9" s="80">
        <v>155.12</v>
      </c>
      <c r="G9" s="78" t="s">
        <v>41</v>
      </c>
      <c r="H9" s="84">
        <v>3</v>
      </c>
      <c r="I9" s="79"/>
      <c r="J9" s="79">
        <f>SUM(J10:J13)</f>
        <v>124.07</v>
      </c>
      <c r="K9" s="80">
        <f t="shared" si="0"/>
        <v>-31.05</v>
      </c>
      <c r="L9" s="251" t="s">
        <v>42</v>
      </c>
    </row>
    <row r="10" ht="18" customHeight="1" outlineLevel="2" spans="1:12">
      <c r="A10" s="76" t="s">
        <v>43</v>
      </c>
      <c r="B10" s="87" t="s">
        <v>44</v>
      </c>
      <c r="C10" s="78" t="s">
        <v>41</v>
      </c>
      <c r="D10" s="84">
        <v>3</v>
      </c>
      <c r="E10" s="79">
        <v>214225.24</v>
      </c>
      <c r="F10" s="236">
        <v>64.27</v>
      </c>
      <c r="G10" s="78" t="s">
        <v>41</v>
      </c>
      <c r="H10" s="84">
        <v>3</v>
      </c>
      <c r="I10" s="79">
        <v>214225.24</v>
      </c>
      <c r="J10" s="79">
        <f>H10*I10/10000</f>
        <v>64.27</v>
      </c>
      <c r="K10" s="80">
        <f t="shared" si="0"/>
        <v>0</v>
      </c>
      <c r="L10" s="251" t="s">
        <v>250</v>
      </c>
    </row>
    <row r="11" ht="18" customHeight="1" outlineLevel="2" spans="1:12">
      <c r="A11" s="76" t="s">
        <v>46</v>
      </c>
      <c r="B11" s="87" t="s">
        <v>47</v>
      </c>
      <c r="C11" s="78" t="s">
        <v>41</v>
      </c>
      <c r="D11" s="84">
        <v>3</v>
      </c>
      <c r="E11" s="79">
        <v>233637</v>
      </c>
      <c r="F11" s="236">
        <v>70.09</v>
      </c>
      <c r="G11" s="78" t="s">
        <v>41</v>
      </c>
      <c r="H11" s="84">
        <v>3</v>
      </c>
      <c r="I11" s="253">
        <v>150000</v>
      </c>
      <c r="J11" s="79">
        <f>H11*I11/10000</f>
        <v>45</v>
      </c>
      <c r="K11" s="80">
        <f t="shared" si="0"/>
        <v>-25.09</v>
      </c>
      <c r="L11" s="251" t="s">
        <v>251</v>
      </c>
    </row>
    <row r="12" ht="18" customHeight="1" outlineLevel="2" spans="1:12">
      <c r="A12" s="76" t="s">
        <v>49</v>
      </c>
      <c r="B12" s="87" t="s">
        <v>252</v>
      </c>
      <c r="C12" s="78" t="s">
        <v>51</v>
      </c>
      <c r="D12" s="84">
        <v>10</v>
      </c>
      <c r="E12" s="79">
        <v>1800</v>
      </c>
      <c r="F12" s="236">
        <v>1.8</v>
      </c>
      <c r="G12" s="78" t="s">
        <v>51</v>
      </c>
      <c r="H12" s="84">
        <v>10</v>
      </c>
      <c r="I12" s="79">
        <v>1800</v>
      </c>
      <c r="J12" s="79">
        <f>H12*I12/10000</f>
        <v>1.8</v>
      </c>
      <c r="K12" s="80">
        <f t="shared" si="0"/>
        <v>0</v>
      </c>
      <c r="L12" s="254"/>
    </row>
    <row r="13" ht="18" customHeight="1" outlineLevel="2" spans="1:12">
      <c r="A13" s="76" t="s">
        <v>62</v>
      </c>
      <c r="B13" s="87" t="s">
        <v>253</v>
      </c>
      <c r="C13" s="78" t="s">
        <v>51</v>
      </c>
      <c r="D13" s="84">
        <v>52</v>
      </c>
      <c r="E13" s="79">
        <v>2500</v>
      </c>
      <c r="F13" s="236">
        <v>13</v>
      </c>
      <c r="G13" s="78" t="s">
        <v>51</v>
      </c>
      <c r="H13" s="84">
        <v>52</v>
      </c>
      <c r="I13" s="79">
        <v>2500</v>
      </c>
      <c r="J13" s="79">
        <f>H13*I13/10000</f>
        <v>13</v>
      </c>
      <c r="K13" s="80">
        <f t="shared" si="0"/>
        <v>0</v>
      </c>
      <c r="L13" s="254"/>
    </row>
    <row r="14" ht="18" customHeight="1" outlineLevel="2" spans="1:12">
      <c r="A14" s="76">
        <v>2</v>
      </c>
      <c r="B14" s="77" t="s">
        <v>128</v>
      </c>
      <c r="C14" s="78"/>
      <c r="D14" s="84"/>
      <c r="E14" s="79"/>
      <c r="F14" s="80">
        <v>733.51</v>
      </c>
      <c r="G14" s="78"/>
      <c r="H14" s="79"/>
      <c r="I14" s="79"/>
      <c r="J14" s="79">
        <f>SUM(J15:J26)</f>
        <v>712.65</v>
      </c>
      <c r="K14" s="80">
        <f t="shared" si="0"/>
        <v>-20.86</v>
      </c>
      <c r="L14" s="254"/>
    </row>
    <row r="15" ht="18" customHeight="1" outlineLevel="2" spans="1:12">
      <c r="A15" s="76" t="s">
        <v>43</v>
      </c>
      <c r="B15" s="87" t="s">
        <v>254</v>
      </c>
      <c r="C15" s="78" t="s">
        <v>51</v>
      </c>
      <c r="D15" s="79">
        <v>644</v>
      </c>
      <c r="E15" s="79">
        <v>151.41</v>
      </c>
      <c r="F15" s="93">
        <v>9.75</v>
      </c>
      <c r="G15" s="78" t="s">
        <v>51</v>
      </c>
      <c r="H15" s="79">
        <v>644</v>
      </c>
      <c r="I15" s="79">
        <v>100</v>
      </c>
      <c r="J15" s="79">
        <f t="shared" ref="J15" si="1">H15*I15/10000</f>
        <v>6.44</v>
      </c>
      <c r="K15" s="80">
        <f t="shared" ref="K15" si="2">J15-F15</f>
        <v>-3.31</v>
      </c>
      <c r="L15" s="251" t="s">
        <v>255</v>
      </c>
    </row>
    <row r="16" ht="18" customHeight="1" outlineLevel="2" spans="1:12">
      <c r="A16" s="76" t="s">
        <v>46</v>
      </c>
      <c r="B16" s="87" t="s">
        <v>256</v>
      </c>
      <c r="C16" s="78" t="s">
        <v>51</v>
      </c>
      <c r="D16" s="79">
        <v>7364</v>
      </c>
      <c r="E16" s="79">
        <v>345.26</v>
      </c>
      <c r="F16" s="93">
        <v>254.25</v>
      </c>
      <c r="G16" s="78" t="s">
        <v>51</v>
      </c>
      <c r="H16" s="79">
        <v>7364</v>
      </c>
      <c r="I16" s="79">
        <v>345.26</v>
      </c>
      <c r="J16" s="79">
        <f t="shared" ref="J16:J19" si="3">H16*I16/10000</f>
        <v>254.25</v>
      </c>
      <c r="K16" s="80">
        <f t="shared" ref="K16:K19" si="4">J16-F16</f>
        <v>0</v>
      </c>
      <c r="L16" s="251" t="s">
        <v>77</v>
      </c>
    </row>
    <row r="17" ht="18" customHeight="1" outlineLevel="2" spans="1:12">
      <c r="A17" s="76" t="s">
        <v>49</v>
      </c>
      <c r="B17" s="87" t="s">
        <v>257</v>
      </c>
      <c r="C17" s="78" t="s">
        <v>51</v>
      </c>
      <c r="D17" s="79">
        <v>428</v>
      </c>
      <c r="E17" s="79">
        <v>1400.9</v>
      </c>
      <c r="F17" s="93">
        <v>59.96</v>
      </c>
      <c r="G17" s="78" t="s">
        <v>51</v>
      </c>
      <c r="H17" s="79">
        <v>428</v>
      </c>
      <c r="I17" s="79">
        <v>1400</v>
      </c>
      <c r="J17" s="79">
        <f t="shared" si="3"/>
        <v>59.92</v>
      </c>
      <c r="K17" s="80">
        <f t="shared" si="4"/>
        <v>-0.04</v>
      </c>
      <c r="L17" s="251" t="s">
        <v>77</v>
      </c>
    </row>
    <row r="18" ht="18" customHeight="1" outlineLevel="2" spans="1:12">
      <c r="A18" s="76" t="s">
        <v>62</v>
      </c>
      <c r="B18" s="87" t="s">
        <v>258</v>
      </c>
      <c r="C18" s="78" t="s">
        <v>51</v>
      </c>
      <c r="D18" s="79">
        <v>1803</v>
      </c>
      <c r="E18" s="79">
        <v>975.22</v>
      </c>
      <c r="F18" s="93">
        <v>175.83</v>
      </c>
      <c r="G18" s="78" t="s">
        <v>51</v>
      </c>
      <c r="H18" s="79">
        <v>1803</v>
      </c>
      <c r="I18" s="79">
        <v>975.22</v>
      </c>
      <c r="J18" s="79">
        <f t="shared" si="3"/>
        <v>175.83</v>
      </c>
      <c r="K18" s="80">
        <f t="shared" si="4"/>
        <v>0</v>
      </c>
      <c r="L18" s="251" t="s">
        <v>77</v>
      </c>
    </row>
    <row r="19" ht="18" customHeight="1" outlineLevel="2" spans="1:12">
      <c r="A19" s="76" t="s">
        <v>65</v>
      </c>
      <c r="B19" s="87" t="s">
        <v>259</v>
      </c>
      <c r="C19" s="78" t="s">
        <v>51</v>
      </c>
      <c r="D19" s="79">
        <v>48</v>
      </c>
      <c r="E19" s="79">
        <v>2801.12</v>
      </c>
      <c r="F19" s="93">
        <v>13.45</v>
      </c>
      <c r="G19" s="78" t="s">
        <v>51</v>
      </c>
      <c r="H19" s="79">
        <v>48</v>
      </c>
      <c r="I19" s="79">
        <v>2800</v>
      </c>
      <c r="J19" s="79">
        <f t="shared" si="3"/>
        <v>13.44</v>
      </c>
      <c r="K19" s="80">
        <f t="shared" si="4"/>
        <v>-0.01</v>
      </c>
      <c r="L19" s="251" t="s">
        <v>77</v>
      </c>
    </row>
    <row r="20" ht="18" customHeight="1" outlineLevel="2" spans="1:12">
      <c r="A20" s="76" t="s">
        <v>68</v>
      </c>
      <c r="B20" s="87" t="s">
        <v>260</v>
      </c>
      <c r="C20" s="78" t="s">
        <v>51</v>
      </c>
      <c r="D20" s="79">
        <v>7345</v>
      </c>
      <c r="E20" s="79">
        <v>75.3</v>
      </c>
      <c r="F20" s="93">
        <v>55.31</v>
      </c>
      <c r="G20" s="78" t="s">
        <v>51</v>
      </c>
      <c r="H20" s="79">
        <v>7345</v>
      </c>
      <c r="I20" s="79">
        <v>75</v>
      </c>
      <c r="J20" s="79">
        <f t="shared" ref="J20:J24" si="5">H20*I20/10000</f>
        <v>55.09</v>
      </c>
      <c r="K20" s="80">
        <f t="shared" ref="K20:K24" si="6">J20-F20</f>
        <v>-0.22</v>
      </c>
      <c r="L20" s="251" t="s">
        <v>77</v>
      </c>
    </row>
    <row r="21" ht="18" customHeight="1" outlineLevel="2" spans="1:12">
      <c r="A21" s="76" t="s">
        <v>136</v>
      </c>
      <c r="B21" s="87" t="s">
        <v>261</v>
      </c>
      <c r="C21" s="78" t="s">
        <v>51</v>
      </c>
      <c r="D21" s="79">
        <v>380</v>
      </c>
      <c r="E21" s="79">
        <v>329.43</v>
      </c>
      <c r="F21" s="93">
        <v>12.52</v>
      </c>
      <c r="G21" s="78" t="s">
        <v>51</v>
      </c>
      <c r="H21" s="79">
        <v>380</v>
      </c>
      <c r="I21" s="79">
        <v>329.43</v>
      </c>
      <c r="J21" s="79">
        <f t="shared" si="5"/>
        <v>12.52</v>
      </c>
      <c r="K21" s="80">
        <f t="shared" si="6"/>
        <v>0</v>
      </c>
      <c r="L21" s="251" t="s">
        <v>77</v>
      </c>
    </row>
    <row r="22" ht="18" customHeight="1" outlineLevel="2" spans="1:12">
      <c r="A22" s="76" t="s">
        <v>138</v>
      </c>
      <c r="B22" s="87" t="s">
        <v>262</v>
      </c>
      <c r="C22" s="78" t="s">
        <v>51</v>
      </c>
      <c r="D22" s="79">
        <v>2666</v>
      </c>
      <c r="E22" s="79">
        <v>151.41</v>
      </c>
      <c r="F22" s="93">
        <v>40.37</v>
      </c>
      <c r="G22" s="78" t="s">
        <v>51</v>
      </c>
      <c r="H22" s="79">
        <v>2666</v>
      </c>
      <c r="I22" s="79">
        <v>100</v>
      </c>
      <c r="J22" s="79">
        <f t="shared" si="5"/>
        <v>26.66</v>
      </c>
      <c r="K22" s="80">
        <f t="shared" si="6"/>
        <v>-13.71</v>
      </c>
      <c r="L22" s="251" t="s">
        <v>77</v>
      </c>
    </row>
    <row r="23" ht="18" customHeight="1" outlineLevel="2" spans="1:12">
      <c r="A23" s="76" t="s">
        <v>140</v>
      </c>
      <c r="B23" s="87" t="s">
        <v>263</v>
      </c>
      <c r="C23" s="78" t="s">
        <v>51</v>
      </c>
      <c r="D23" s="79">
        <v>96</v>
      </c>
      <c r="E23" s="79">
        <v>453.75</v>
      </c>
      <c r="F23" s="93">
        <v>4.36</v>
      </c>
      <c r="G23" s="78" t="s">
        <v>51</v>
      </c>
      <c r="H23" s="79">
        <v>96</v>
      </c>
      <c r="I23" s="79">
        <v>400</v>
      </c>
      <c r="J23" s="79">
        <f t="shared" si="5"/>
        <v>3.84</v>
      </c>
      <c r="K23" s="80">
        <f t="shared" si="6"/>
        <v>-0.52</v>
      </c>
      <c r="L23" s="251" t="s">
        <v>77</v>
      </c>
    </row>
    <row r="24" ht="18" customHeight="1" outlineLevel="2" spans="1:12">
      <c r="A24" s="76" t="s">
        <v>143</v>
      </c>
      <c r="B24" s="87" t="s">
        <v>264</v>
      </c>
      <c r="C24" s="78" t="s">
        <v>95</v>
      </c>
      <c r="D24" s="84">
        <v>1</v>
      </c>
      <c r="E24" s="79">
        <v>568550</v>
      </c>
      <c r="F24" s="93">
        <v>56.86</v>
      </c>
      <c r="G24" s="78" t="s">
        <v>95</v>
      </c>
      <c r="H24" s="84">
        <v>1</v>
      </c>
      <c r="I24" s="79">
        <v>568550</v>
      </c>
      <c r="J24" s="79">
        <f t="shared" si="5"/>
        <v>56.86</v>
      </c>
      <c r="K24" s="80">
        <f t="shared" si="6"/>
        <v>0</v>
      </c>
      <c r="L24" s="250"/>
    </row>
    <row r="25" ht="18" customHeight="1" outlineLevel="2" spans="1:12">
      <c r="A25" s="76" t="s">
        <v>145</v>
      </c>
      <c r="B25" s="87" t="s">
        <v>146</v>
      </c>
      <c r="C25" s="78" t="s">
        <v>60</v>
      </c>
      <c r="D25" s="84">
        <v>262</v>
      </c>
      <c r="E25" s="79">
        <v>1150.96</v>
      </c>
      <c r="F25" s="93">
        <v>30.16</v>
      </c>
      <c r="G25" s="78" t="s">
        <v>60</v>
      </c>
      <c r="H25" s="84">
        <v>262</v>
      </c>
      <c r="I25" s="79">
        <v>1150.96</v>
      </c>
      <c r="J25" s="79">
        <f t="shared" ref="J25:J26" si="7">H25*I25/10000</f>
        <v>30.16</v>
      </c>
      <c r="K25" s="80">
        <f t="shared" ref="K25:K27" si="8">J25-F25</f>
        <v>0</v>
      </c>
      <c r="L25" s="250"/>
    </row>
    <row r="26" ht="18" customHeight="1" outlineLevel="2" spans="1:13">
      <c r="A26" s="76" t="s">
        <v>148</v>
      </c>
      <c r="B26" s="87" t="s">
        <v>265</v>
      </c>
      <c r="C26" s="78" t="s">
        <v>41</v>
      </c>
      <c r="D26" s="84">
        <v>18</v>
      </c>
      <c r="E26" s="79">
        <v>11495.27</v>
      </c>
      <c r="F26" s="93">
        <v>20.69</v>
      </c>
      <c r="G26" s="78" t="s">
        <v>41</v>
      </c>
      <c r="H26" s="84">
        <v>18</v>
      </c>
      <c r="I26" s="253">
        <v>9800</v>
      </c>
      <c r="J26" s="79">
        <f t="shared" si="7"/>
        <v>17.64</v>
      </c>
      <c r="K26" s="80">
        <f t="shared" si="8"/>
        <v>-3.05</v>
      </c>
      <c r="L26" s="268" t="s">
        <v>266</v>
      </c>
      <c r="M26" s="269" t="s">
        <v>267</v>
      </c>
    </row>
    <row r="27" ht="18" customHeight="1" outlineLevel="2" spans="1:12">
      <c r="A27" s="76">
        <v>3</v>
      </c>
      <c r="B27" s="77" t="s">
        <v>162</v>
      </c>
      <c r="C27" s="78"/>
      <c r="D27" s="84"/>
      <c r="E27" s="79"/>
      <c r="F27" s="80">
        <v>82.39</v>
      </c>
      <c r="G27" s="78"/>
      <c r="H27" s="79"/>
      <c r="I27" s="79"/>
      <c r="J27" s="79">
        <f>SUM(J28)</f>
        <v>63.25</v>
      </c>
      <c r="K27" s="80">
        <f t="shared" si="8"/>
        <v>-19.14</v>
      </c>
      <c r="L27" s="254"/>
    </row>
    <row r="28" ht="29.1" customHeight="1" outlineLevel="2" spans="1:12">
      <c r="A28" s="76"/>
      <c r="B28" s="87" t="s">
        <v>164</v>
      </c>
      <c r="C28" s="78" t="s">
        <v>60</v>
      </c>
      <c r="D28" s="84">
        <v>275</v>
      </c>
      <c r="E28" s="79">
        <v>2996.12</v>
      </c>
      <c r="F28" s="236">
        <v>82.39</v>
      </c>
      <c r="G28" s="78" t="s">
        <v>60</v>
      </c>
      <c r="H28" s="84">
        <v>275</v>
      </c>
      <c r="I28" s="79">
        <v>2300</v>
      </c>
      <c r="J28" s="79">
        <f t="shared" ref="J28" si="9">H28*I28/10000</f>
        <v>63.25</v>
      </c>
      <c r="K28" s="80">
        <f t="shared" ref="K28:K33" si="10">J28-F28</f>
        <v>-19.14</v>
      </c>
      <c r="L28" s="268" t="s">
        <v>268</v>
      </c>
    </row>
    <row r="29" ht="18" customHeight="1" outlineLevel="1" spans="1:12">
      <c r="A29" s="73" t="s">
        <v>71</v>
      </c>
      <c r="B29" s="74" t="s">
        <v>72</v>
      </c>
      <c r="C29" s="234"/>
      <c r="D29" s="84"/>
      <c r="E29" s="79"/>
      <c r="F29" s="75">
        <v>337.71</v>
      </c>
      <c r="G29" s="90"/>
      <c r="H29" s="91"/>
      <c r="I29" s="86"/>
      <c r="J29" s="75">
        <f>SUM(J30:J31)</f>
        <v>337.71</v>
      </c>
      <c r="K29" s="75">
        <f t="shared" si="10"/>
        <v>0</v>
      </c>
      <c r="L29" s="255"/>
    </row>
    <row r="30" ht="18" customHeight="1" outlineLevel="2" spans="1:12">
      <c r="A30" s="76">
        <v>1</v>
      </c>
      <c r="B30" s="77" t="s">
        <v>269</v>
      </c>
      <c r="C30" s="78" t="s">
        <v>74</v>
      </c>
      <c r="D30" s="79">
        <v>13775</v>
      </c>
      <c r="E30" s="79">
        <v>204.68</v>
      </c>
      <c r="F30" s="80">
        <v>281.95</v>
      </c>
      <c r="G30" s="86"/>
      <c r="H30" s="79">
        <v>13775</v>
      </c>
      <c r="I30" s="79">
        <v>204.68</v>
      </c>
      <c r="J30" s="79">
        <f>I30*H30/10000</f>
        <v>281.95</v>
      </c>
      <c r="K30" s="79">
        <f t="shared" si="10"/>
        <v>0</v>
      </c>
      <c r="L30" s="256" t="s">
        <v>270</v>
      </c>
    </row>
    <row r="31" ht="18" customHeight="1" outlineLevel="2" spans="1:12">
      <c r="A31" s="76">
        <v>2</v>
      </c>
      <c r="B31" s="77" t="s">
        <v>271</v>
      </c>
      <c r="C31" s="78" t="s">
        <v>74</v>
      </c>
      <c r="D31" s="79">
        <v>1965</v>
      </c>
      <c r="E31" s="79">
        <v>283.78</v>
      </c>
      <c r="F31" s="80">
        <v>55.76</v>
      </c>
      <c r="G31" s="86"/>
      <c r="H31" s="79">
        <v>1965</v>
      </c>
      <c r="I31" s="79">
        <v>283.78</v>
      </c>
      <c r="J31" s="79">
        <f>I31*H31/10000</f>
        <v>55.76</v>
      </c>
      <c r="K31" s="79">
        <f t="shared" si="10"/>
        <v>0</v>
      </c>
      <c r="L31" s="256" t="s">
        <v>272</v>
      </c>
    </row>
    <row r="32" ht="18" customHeight="1" outlineLevel="1" spans="1:16">
      <c r="A32" s="73" t="s">
        <v>92</v>
      </c>
      <c r="B32" s="74" t="s">
        <v>93</v>
      </c>
      <c r="C32" s="78"/>
      <c r="D32" s="84"/>
      <c r="E32" s="79"/>
      <c r="F32" s="218">
        <v>26.13</v>
      </c>
      <c r="G32" s="100"/>
      <c r="H32" s="101"/>
      <c r="I32" s="86"/>
      <c r="J32" s="75">
        <f>SUM(J33:J46)</f>
        <v>26.13</v>
      </c>
      <c r="K32" s="75">
        <f t="shared" si="10"/>
        <v>0</v>
      </c>
      <c r="L32" s="257"/>
      <c r="M32" s="65"/>
      <c r="N32" s="65"/>
      <c r="O32" s="65"/>
      <c r="P32" s="65"/>
    </row>
    <row r="33" ht="18" customHeight="1" outlineLevel="2" spans="1:16">
      <c r="A33" s="76">
        <v>1</v>
      </c>
      <c r="B33" s="77" t="s">
        <v>273</v>
      </c>
      <c r="C33" s="78" t="s">
        <v>223</v>
      </c>
      <c r="D33" s="84">
        <v>600</v>
      </c>
      <c r="E33" s="79">
        <v>234</v>
      </c>
      <c r="F33" s="93">
        <v>14.04</v>
      </c>
      <c r="G33" s="78" t="s">
        <v>223</v>
      </c>
      <c r="H33" s="84">
        <v>600</v>
      </c>
      <c r="I33" s="79">
        <v>234</v>
      </c>
      <c r="J33" s="79">
        <f>I33*H33/10000</f>
        <v>14.04</v>
      </c>
      <c r="K33" s="79">
        <f t="shared" si="10"/>
        <v>0</v>
      </c>
      <c r="L33" s="257"/>
      <c r="M33" s="258"/>
      <c r="N33" s="65"/>
      <c r="O33" s="65"/>
      <c r="P33" s="65"/>
    </row>
    <row r="34" ht="18" customHeight="1" outlineLevel="2" spans="1:16">
      <c r="A34" s="76">
        <v>2</v>
      </c>
      <c r="B34" s="77" t="s">
        <v>274</v>
      </c>
      <c r="C34" s="78" t="s">
        <v>176</v>
      </c>
      <c r="D34" s="84">
        <v>10</v>
      </c>
      <c r="E34" s="79">
        <v>6000</v>
      </c>
      <c r="F34" s="93">
        <v>6</v>
      </c>
      <c r="G34" s="78" t="s">
        <v>176</v>
      </c>
      <c r="H34" s="84">
        <v>10</v>
      </c>
      <c r="I34" s="79">
        <v>6000</v>
      </c>
      <c r="J34" s="79">
        <f t="shared" ref="J34:J46" si="11">I34*H34/10000</f>
        <v>6</v>
      </c>
      <c r="K34" s="79">
        <f t="shared" ref="K34:K48" si="12">J34-F34</f>
        <v>0</v>
      </c>
      <c r="L34" s="257"/>
      <c r="M34" s="258"/>
      <c r="N34" s="65"/>
      <c r="O34" s="65"/>
      <c r="P34" s="65"/>
    </row>
    <row r="35" ht="18" customHeight="1" outlineLevel="2" spans="1:16">
      <c r="A35" s="76">
        <v>3</v>
      </c>
      <c r="B35" s="77" t="s">
        <v>275</v>
      </c>
      <c r="C35" s="78" t="s">
        <v>176</v>
      </c>
      <c r="D35" s="84">
        <v>1</v>
      </c>
      <c r="E35" s="79">
        <v>6000</v>
      </c>
      <c r="F35" s="93">
        <v>0.6</v>
      </c>
      <c r="G35" s="78" t="s">
        <v>176</v>
      </c>
      <c r="H35" s="84">
        <v>1</v>
      </c>
      <c r="I35" s="79">
        <v>6000</v>
      </c>
      <c r="J35" s="79">
        <f t="shared" si="11"/>
        <v>0.6</v>
      </c>
      <c r="K35" s="79">
        <f t="shared" si="12"/>
        <v>0</v>
      </c>
      <c r="L35" s="257"/>
      <c r="M35" s="258"/>
      <c r="N35" s="65"/>
      <c r="O35" s="65"/>
      <c r="P35" s="65"/>
    </row>
    <row r="36" ht="18" customHeight="1" outlineLevel="2" spans="1:16">
      <c r="A36" s="76">
        <v>4</v>
      </c>
      <c r="B36" s="77" t="s">
        <v>276</v>
      </c>
      <c r="C36" s="78" t="s">
        <v>176</v>
      </c>
      <c r="D36" s="84">
        <v>4</v>
      </c>
      <c r="E36" s="79">
        <v>6000</v>
      </c>
      <c r="F36" s="93">
        <v>2.4</v>
      </c>
      <c r="G36" s="78" t="s">
        <v>176</v>
      </c>
      <c r="H36" s="84">
        <v>4</v>
      </c>
      <c r="I36" s="79">
        <v>6000</v>
      </c>
      <c r="J36" s="79">
        <f t="shared" si="11"/>
        <v>2.4</v>
      </c>
      <c r="K36" s="79">
        <f t="shared" si="12"/>
        <v>0</v>
      </c>
      <c r="L36" s="257"/>
      <c r="M36" s="258"/>
      <c r="N36" s="65"/>
      <c r="O36" s="65"/>
      <c r="P36" s="65"/>
    </row>
    <row r="37" ht="18" customHeight="1" outlineLevel="2" spans="1:16">
      <c r="A37" s="76">
        <v>5</v>
      </c>
      <c r="B37" s="77" t="s">
        <v>277</v>
      </c>
      <c r="C37" s="78" t="s">
        <v>225</v>
      </c>
      <c r="D37" s="84">
        <v>10</v>
      </c>
      <c r="E37" s="79">
        <v>200</v>
      </c>
      <c r="F37" s="93">
        <v>0.2</v>
      </c>
      <c r="G37" s="78" t="s">
        <v>225</v>
      </c>
      <c r="H37" s="84">
        <v>10</v>
      </c>
      <c r="I37" s="79">
        <v>200</v>
      </c>
      <c r="J37" s="79">
        <f t="shared" si="11"/>
        <v>0.2</v>
      </c>
      <c r="K37" s="79">
        <f t="shared" si="12"/>
        <v>0</v>
      </c>
      <c r="L37" s="257"/>
      <c r="M37" s="258"/>
      <c r="N37" s="65"/>
      <c r="O37" s="65"/>
      <c r="P37" s="65"/>
    </row>
    <row r="38" ht="18" customHeight="1" outlineLevel="2" spans="1:16">
      <c r="A38" s="76">
        <v>6</v>
      </c>
      <c r="B38" s="77" t="s">
        <v>277</v>
      </c>
      <c r="C38" s="78" t="s">
        <v>225</v>
      </c>
      <c r="D38" s="84">
        <v>6</v>
      </c>
      <c r="E38" s="79">
        <v>250</v>
      </c>
      <c r="F38" s="93">
        <v>0.15</v>
      </c>
      <c r="G38" s="78" t="s">
        <v>225</v>
      </c>
      <c r="H38" s="84">
        <v>6</v>
      </c>
      <c r="I38" s="79">
        <v>250</v>
      </c>
      <c r="J38" s="79">
        <f t="shared" si="11"/>
        <v>0.15</v>
      </c>
      <c r="K38" s="79">
        <f t="shared" si="12"/>
        <v>0</v>
      </c>
      <c r="L38" s="257"/>
      <c r="M38" s="258"/>
      <c r="N38" s="65"/>
      <c r="O38" s="65"/>
      <c r="P38" s="65"/>
    </row>
    <row r="39" ht="18" customHeight="1" outlineLevel="2" spans="1:16">
      <c r="A39" s="76">
        <v>7</v>
      </c>
      <c r="B39" s="77" t="s">
        <v>278</v>
      </c>
      <c r="C39" s="78" t="s">
        <v>176</v>
      </c>
      <c r="D39" s="84">
        <v>52</v>
      </c>
      <c r="E39" s="79">
        <v>20</v>
      </c>
      <c r="F39" s="93">
        <v>0.1</v>
      </c>
      <c r="G39" s="78" t="s">
        <v>176</v>
      </c>
      <c r="H39" s="84">
        <v>52</v>
      </c>
      <c r="I39" s="79">
        <v>20</v>
      </c>
      <c r="J39" s="79">
        <f t="shared" si="11"/>
        <v>0.1</v>
      </c>
      <c r="K39" s="79">
        <f t="shared" si="12"/>
        <v>0</v>
      </c>
      <c r="L39" s="257"/>
      <c r="M39" s="258"/>
      <c r="N39" s="65"/>
      <c r="O39" s="65"/>
      <c r="P39" s="65"/>
    </row>
    <row r="40" ht="18" customHeight="1" outlineLevel="2" spans="1:16">
      <c r="A40" s="76">
        <v>8</v>
      </c>
      <c r="B40" s="77" t="s">
        <v>279</v>
      </c>
      <c r="C40" s="78" t="s">
        <v>176</v>
      </c>
      <c r="D40" s="84">
        <v>12</v>
      </c>
      <c r="E40" s="79">
        <v>25</v>
      </c>
      <c r="F40" s="93">
        <v>0.03</v>
      </c>
      <c r="G40" s="78" t="s">
        <v>176</v>
      </c>
      <c r="H40" s="84">
        <v>12</v>
      </c>
      <c r="I40" s="79">
        <v>25</v>
      </c>
      <c r="J40" s="79">
        <f t="shared" si="11"/>
        <v>0.03</v>
      </c>
      <c r="K40" s="79">
        <f t="shared" si="12"/>
        <v>0</v>
      </c>
      <c r="L40" s="257"/>
      <c r="M40" s="258"/>
      <c r="N40" s="65"/>
      <c r="O40" s="65"/>
      <c r="P40" s="65"/>
    </row>
    <row r="41" ht="18" customHeight="1" outlineLevel="2" spans="1:16">
      <c r="A41" s="76">
        <v>9</v>
      </c>
      <c r="B41" s="77" t="s">
        <v>280</v>
      </c>
      <c r="C41" s="78" t="s">
        <v>176</v>
      </c>
      <c r="D41" s="84">
        <v>16</v>
      </c>
      <c r="E41" s="79">
        <v>50</v>
      </c>
      <c r="F41" s="93">
        <v>0.08</v>
      </c>
      <c r="G41" s="78" t="s">
        <v>176</v>
      </c>
      <c r="H41" s="84">
        <v>16</v>
      </c>
      <c r="I41" s="79">
        <v>50</v>
      </c>
      <c r="J41" s="79">
        <f t="shared" si="11"/>
        <v>0.08</v>
      </c>
      <c r="K41" s="79">
        <f t="shared" si="12"/>
        <v>0</v>
      </c>
      <c r="L41" s="257"/>
      <c r="M41" s="258"/>
      <c r="N41" s="65"/>
      <c r="O41" s="65"/>
      <c r="P41" s="65"/>
    </row>
    <row r="42" ht="18" customHeight="1" outlineLevel="2" spans="1:16">
      <c r="A42" s="76">
        <v>10</v>
      </c>
      <c r="B42" s="77" t="s">
        <v>281</v>
      </c>
      <c r="C42" s="78" t="s">
        <v>176</v>
      </c>
      <c r="D42" s="84">
        <v>16</v>
      </c>
      <c r="E42" s="79">
        <v>50</v>
      </c>
      <c r="F42" s="93">
        <v>0.08</v>
      </c>
      <c r="G42" s="78" t="s">
        <v>176</v>
      </c>
      <c r="H42" s="84">
        <v>16</v>
      </c>
      <c r="I42" s="79">
        <v>50</v>
      </c>
      <c r="J42" s="79">
        <f t="shared" si="11"/>
        <v>0.08</v>
      </c>
      <c r="K42" s="79">
        <f t="shared" si="12"/>
        <v>0</v>
      </c>
      <c r="L42" s="257"/>
      <c r="M42" s="258"/>
      <c r="N42" s="65"/>
      <c r="O42" s="65"/>
      <c r="P42" s="65"/>
    </row>
    <row r="43" ht="18" customHeight="1" outlineLevel="2" spans="1:16">
      <c r="A43" s="76">
        <v>11</v>
      </c>
      <c r="B43" s="77" t="s">
        <v>282</v>
      </c>
      <c r="C43" s="78" t="s">
        <v>176</v>
      </c>
      <c r="D43" s="84">
        <v>3</v>
      </c>
      <c r="E43" s="79">
        <v>500</v>
      </c>
      <c r="F43" s="93">
        <v>0.15</v>
      </c>
      <c r="G43" s="78" t="s">
        <v>176</v>
      </c>
      <c r="H43" s="84">
        <v>3</v>
      </c>
      <c r="I43" s="79">
        <v>500</v>
      </c>
      <c r="J43" s="79">
        <f t="shared" si="11"/>
        <v>0.15</v>
      </c>
      <c r="K43" s="79">
        <f t="shared" si="12"/>
        <v>0</v>
      </c>
      <c r="L43" s="257"/>
      <c r="M43" s="258"/>
      <c r="N43" s="65"/>
      <c r="O43" s="65"/>
      <c r="P43" s="65"/>
    </row>
    <row r="44" ht="18" customHeight="1" outlineLevel="2" spans="1:16">
      <c r="A44" s="76">
        <v>12</v>
      </c>
      <c r="B44" s="77" t="s">
        <v>283</v>
      </c>
      <c r="C44" s="78" t="s">
        <v>176</v>
      </c>
      <c r="D44" s="84">
        <v>13</v>
      </c>
      <c r="E44" s="79">
        <v>1500</v>
      </c>
      <c r="F44" s="93">
        <v>1.95</v>
      </c>
      <c r="G44" s="78" t="s">
        <v>176</v>
      </c>
      <c r="H44" s="84">
        <v>13</v>
      </c>
      <c r="I44" s="79">
        <v>1500</v>
      </c>
      <c r="J44" s="79">
        <f t="shared" si="11"/>
        <v>1.95</v>
      </c>
      <c r="K44" s="79">
        <f t="shared" si="12"/>
        <v>0</v>
      </c>
      <c r="L44" s="257"/>
      <c r="M44" s="258"/>
      <c r="N44" s="65"/>
      <c r="O44" s="65"/>
      <c r="P44" s="65"/>
    </row>
    <row r="45" ht="18" customHeight="1" outlineLevel="2" spans="1:16">
      <c r="A45" s="76">
        <v>13</v>
      </c>
      <c r="B45" s="77" t="s">
        <v>284</v>
      </c>
      <c r="C45" s="78" t="s">
        <v>223</v>
      </c>
      <c r="D45" s="84">
        <v>150</v>
      </c>
      <c r="E45" s="79">
        <v>10</v>
      </c>
      <c r="F45" s="93">
        <v>0.15</v>
      </c>
      <c r="G45" s="78" t="s">
        <v>223</v>
      </c>
      <c r="H45" s="84">
        <v>150</v>
      </c>
      <c r="I45" s="79">
        <v>10</v>
      </c>
      <c r="J45" s="79">
        <f t="shared" si="11"/>
        <v>0.15</v>
      </c>
      <c r="K45" s="79">
        <f t="shared" si="12"/>
        <v>0</v>
      </c>
      <c r="L45" s="257"/>
      <c r="M45" s="258"/>
      <c r="N45" s="65"/>
      <c r="O45" s="65"/>
      <c r="P45" s="65"/>
    </row>
    <row r="46" ht="18" customHeight="1" outlineLevel="2" spans="1:16">
      <c r="A46" s="76">
        <v>14</v>
      </c>
      <c r="B46" s="77" t="s">
        <v>285</v>
      </c>
      <c r="C46" s="78" t="s">
        <v>225</v>
      </c>
      <c r="D46" s="84">
        <v>40</v>
      </c>
      <c r="E46" s="79">
        <v>50</v>
      </c>
      <c r="F46" s="93">
        <v>0.2</v>
      </c>
      <c r="G46" s="78" t="s">
        <v>225</v>
      </c>
      <c r="H46" s="84">
        <v>40</v>
      </c>
      <c r="I46" s="79">
        <v>50</v>
      </c>
      <c r="J46" s="79">
        <f t="shared" si="11"/>
        <v>0.2</v>
      </c>
      <c r="K46" s="79">
        <f t="shared" si="12"/>
        <v>0</v>
      </c>
      <c r="L46" s="257"/>
      <c r="M46" s="258"/>
      <c r="N46" s="65"/>
      <c r="O46" s="65"/>
      <c r="P46" s="65"/>
    </row>
    <row r="47" s="63" customFormat="1" ht="18" customHeight="1" spans="1:12">
      <c r="A47" s="94" t="s">
        <v>100</v>
      </c>
      <c r="B47" s="95" t="s">
        <v>101</v>
      </c>
      <c r="C47" s="102"/>
      <c r="D47" s="233"/>
      <c r="E47" s="103"/>
      <c r="F47" s="98">
        <v>156.52</v>
      </c>
      <c r="G47" s="96"/>
      <c r="H47" s="97"/>
      <c r="I47" s="97"/>
      <c r="J47" s="103">
        <f>SUM(J48:J57)</f>
        <v>114.55</v>
      </c>
      <c r="K47" s="103">
        <f t="shared" si="12"/>
        <v>-41.97</v>
      </c>
      <c r="L47" s="259">
        <f>J47/J58</f>
        <v>0.0822</v>
      </c>
    </row>
    <row r="48" ht="18" customHeight="1" spans="1:12">
      <c r="A48" s="239">
        <v>1</v>
      </c>
      <c r="B48" s="99" t="s">
        <v>102</v>
      </c>
      <c r="C48" s="240"/>
      <c r="D48" s="240"/>
      <c r="E48" s="240"/>
      <c r="F48" s="93">
        <v>40.52</v>
      </c>
      <c r="G48" s="100"/>
      <c r="H48" s="101"/>
      <c r="I48" s="86"/>
      <c r="J48" s="93">
        <v>25</v>
      </c>
      <c r="K48" s="93">
        <f t="shared" si="12"/>
        <v>-15.52</v>
      </c>
      <c r="L48" s="256" t="s">
        <v>103</v>
      </c>
    </row>
    <row r="49" ht="18" customHeight="1" spans="1:12">
      <c r="A49" s="239">
        <v>2</v>
      </c>
      <c r="B49" s="99" t="s">
        <v>104</v>
      </c>
      <c r="C49" s="240"/>
      <c r="D49" s="240"/>
      <c r="E49" s="240"/>
      <c r="F49" s="93"/>
      <c r="G49" s="100"/>
      <c r="H49" s="101"/>
      <c r="I49" s="86"/>
      <c r="J49" s="93"/>
      <c r="K49" s="83"/>
      <c r="L49" s="256"/>
    </row>
    <row r="50" s="63" customFormat="1" ht="18" customHeight="1" spans="1:12">
      <c r="A50" s="76" t="s">
        <v>43</v>
      </c>
      <c r="B50" s="148" t="s">
        <v>105</v>
      </c>
      <c r="C50" s="240"/>
      <c r="D50" s="240"/>
      <c r="E50" s="240"/>
      <c r="F50" s="93">
        <v>34.67</v>
      </c>
      <c r="G50" s="70"/>
      <c r="H50" s="71"/>
      <c r="I50" s="71"/>
      <c r="J50" s="93">
        <f>(30.1+(J5-1000)*(48/2000))*0.9*0.85</f>
        <v>28.16</v>
      </c>
      <c r="K50" s="93">
        <f>J50-F50</f>
        <v>-6.51</v>
      </c>
      <c r="L50" s="256" t="s">
        <v>106</v>
      </c>
    </row>
    <row r="51" s="63" customFormat="1" ht="18" customHeight="1" spans="1:12">
      <c r="A51" s="76" t="s">
        <v>46</v>
      </c>
      <c r="B51" s="148" t="s">
        <v>107</v>
      </c>
      <c r="C51" s="240"/>
      <c r="D51" s="240"/>
      <c r="E51" s="240"/>
      <c r="F51" s="93"/>
      <c r="G51" s="70"/>
      <c r="H51" s="71"/>
      <c r="I51" s="71"/>
      <c r="J51" s="93">
        <f>6.8+(J59-1000)*0.6%</f>
        <v>9.58</v>
      </c>
      <c r="K51" s="93">
        <f>J51-F51</f>
        <v>9.58</v>
      </c>
      <c r="L51" s="261" t="s">
        <v>108</v>
      </c>
    </row>
    <row r="52" ht="18" customHeight="1" spans="1:12">
      <c r="A52" s="239">
        <v>3</v>
      </c>
      <c r="B52" s="99" t="s">
        <v>109</v>
      </c>
      <c r="C52" s="240"/>
      <c r="D52" s="241"/>
      <c r="E52" s="241"/>
      <c r="F52" s="93">
        <v>5.55</v>
      </c>
      <c r="G52" s="86"/>
      <c r="H52" s="101"/>
      <c r="I52" s="86"/>
      <c r="J52" s="93">
        <f>3.1+(J5-1000)*0.285%</f>
        <v>3.9</v>
      </c>
      <c r="K52" s="93">
        <f>J52-F52</f>
        <v>-1.65</v>
      </c>
      <c r="L52" s="262"/>
    </row>
    <row r="53" ht="18" customHeight="1" spans="1:12">
      <c r="A53" s="239" t="s">
        <v>80</v>
      </c>
      <c r="B53" s="99" t="s">
        <v>112</v>
      </c>
      <c r="C53" s="240"/>
      <c r="D53" s="241"/>
      <c r="E53" s="241"/>
      <c r="F53" s="93"/>
      <c r="G53" s="86"/>
      <c r="H53" s="101"/>
      <c r="I53" s="86"/>
      <c r="J53" s="93"/>
      <c r="K53" s="83"/>
      <c r="L53" s="262"/>
    </row>
    <row r="54" ht="18" customHeight="1" spans="1:12">
      <c r="A54" s="76" t="s">
        <v>43</v>
      </c>
      <c r="B54" s="148" t="s">
        <v>113</v>
      </c>
      <c r="C54" s="240"/>
      <c r="D54" s="240"/>
      <c r="E54" s="240"/>
      <c r="F54" s="93">
        <v>10.81</v>
      </c>
      <c r="G54" s="86"/>
      <c r="H54" s="101"/>
      <c r="I54" s="86"/>
      <c r="J54" s="93">
        <f>J5*1%</f>
        <v>12.8</v>
      </c>
      <c r="K54" s="93">
        <f>J54-F54</f>
        <v>1.99</v>
      </c>
      <c r="L54" s="262" t="s">
        <v>114</v>
      </c>
    </row>
    <row r="55" ht="18" customHeight="1" spans="1:12">
      <c r="A55" s="76" t="s">
        <v>46</v>
      </c>
      <c r="B55" s="148" t="s">
        <v>115</v>
      </c>
      <c r="C55" s="240"/>
      <c r="D55" s="240"/>
      <c r="E55" s="240"/>
      <c r="F55" s="93">
        <v>44.18</v>
      </c>
      <c r="G55" s="86"/>
      <c r="H55" s="101"/>
      <c r="I55" s="86"/>
      <c r="J55" s="93">
        <f>(38.8+(J5-1000)*3.25%)*0.8*0.85</f>
        <v>32.56</v>
      </c>
      <c r="K55" s="93">
        <f>J55-F55</f>
        <v>-11.62</v>
      </c>
      <c r="L55" s="262" t="s">
        <v>116</v>
      </c>
    </row>
    <row r="56" ht="18" customHeight="1" spans="1:12">
      <c r="A56" s="239" t="s">
        <v>83</v>
      </c>
      <c r="B56" s="99" t="s">
        <v>286</v>
      </c>
      <c r="C56" s="240"/>
      <c r="D56" s="241"/>
      <c r="E56" s="241"/>
      <c r="F56" s="93">
        <v>16.35</v>
      </c>
      <c r="G56" s="86"/>
      <c r="H56" s="101"/>
      <c r="I56" s="86"/>
      <c r="J56" s="93">
        <v>0</v>
      </c>
      <c r="K56" s="93">
        <f>J56-F56</f>
        <v>-16.35</v>
      </c>
      <c r="L56" s="270" t="s">
        <v>287</v>
      </c>
    </row>
    <row r="57" ht="18" customHeight="1" spans="1:12">
      <c r="A57" s="239" t="s">
        <v>89</v>
      </c>
      <c r="B57" s="99" t="s">
        <v>117</v>
      </c>
      <c r="C57" s="240"/>
      <c r="D57" s="241"/>
      <c r="E57" s="241"/>
      <c r="F57" s="93"/>
      <c r="G57" s="86"/>
      <c r="H57" s="101"/>
      <c r="I57" s="86"/>
      <c r="J57" s="93">
        <f>1.2+(J59-500)*0.14%</f>
        <v>2.55</v>
      </c>
      <c r="K57" s="93">
        <f>J57-F57</f>
        <v>2.55</v>
      </c>
      <c r="L57" s="263" t="s">
        <v>118</v>
      </c>
    </row>
    <row r="58" s="63" customFormat="1" ht="18" customHeight="1" spans="1:12">
      <c r="A58" s="94" t="s">
        <v>119</v>
      </c>
      <c r="B58" s="95" t="s">
        <v>120</v>
      </c>
      <c r="C58" s="102" t="s">
        <v>36</v>
      </c>
      <c r="D58" s="103">
        <v>1131.86</v>
      </c>
      <c r="E58" s="103">
        <f>F58*10000/D58</f>
        <v>13315.87</v>
      </c>
      <c r="F58" s="98">
        <v>1507.17</v>
      </c>
      <c r="G58" s="102" t="s">
        <v>36</v>
      </c>
      <c r="H58" s="103">
        <v>1131.86</v>
      </c>
      <c r="I58" s="103">
        <f>J58/H58*10000</f>
        <v>12317.34</v>
      </c>
      <c r="J58" s="98">
        <f>J5+J47</f>
        <v>1394.15</v>
      </c>
      <c r="K58" s="98">
        <f>J58-F58</f>
        <v>-113.02</v>
      </c>
      <c r="L58" s="246"/>
    </row>
    <row r="59" customHeight="1" spans="9:12">
      <c r="I59" s="265" t="s">
        <v>121</v>
      </c>
      <c r="J59" s="266">
        <v>1463.34</v>
      </c>
      <c r="L59" s="267">
        <f>K58/F58</f>
        <v>-0.075</v>
      </c>
    </row>
    <row r="61" customHeight="1" spans="10:10">
      <c r="J61" s="149"/>
    </row>
  </sheetData>
  <mergeCells count="8">
    <mergeCell ref="A1:L1"/>
    <mergeCell ref="A2:L2"/>
    <mergeCell ref="C3:F3"/>
    <mergeCell ref="G3:J3"/>
    <mergeCell ref="A3:A4"/>
    <mergeCell ref="B3:B4"/>
    <mergeCell ref="K3:K4"/>
    <mergeCell ref="L3:L4"/>
  </mergeCells>
  <printOptions horizontalCentered="1"/>
  <pageMargins left="0.393055555555556" right="0.393055555555556" top="0.590277777777778" bottom="0.786805555555556" header="0.313888888888889" footer="0.590277777777778"/>
  <pageSetup paperSize="9" scale="79" fitToHeight="0" orientation="landscape"/>
  <headerFooter>
    <oddFooter>&amp;C&amp;10&amp;P/&amp;N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outlinePr summaryBelow="0" summaryRight="0"/>
    <pageSetUpPr fitToPage="1"/>
  </sheetPr>
  <dimension ref="A1:P67"/>
  <sheetViews>
    <sheetView zoomScale="85" zoomScaleNormal="85" workbookViewId="0">
      <pane ySplit="4" topLeftCell="A44" activePane="bottomLeft" state="frozen"/>
      <selection/>
      <selection pane="bottomLeft" activeCell="L7" sqref="L7"/>
    </sheetView>
  </sheetViews>
  <sheetFormatPr defaultColWidth="8.875" defaultRowHeight="20.1" customHeight="1"/>
  <cols>
    <col min="1" max="1" width="5.125" style="64" customWidth="1"/>
    <col min="2" max="2" width="26.625" style="65" customWidth="1"/>
    <col min="3" max="3" width="6.5" style="30" customWidth="1"/>
    <col min="4" max="4" width="10.625" style="30" customWidth="1"/>
    <col min="5" max="6" width="12.625" style="30" customWidth="1"/>
    <col min="7" max="7" width="5.375" style="66" customWidth="1"/>
    <col min="8" max="8" width="10.125" style="30" customWidth="1"/>
    <col min="9" max="9" width="11.5" style="66" customWidth="1"/>
    <col min="10" max="10" width="10.125" style="66" customWidth="1"/>
    <col min="11" max="11" width="10.125" style="228" customWidth="1"/>
    <col min="12" max="12" width="38.5" style="65" customWidth="1"/>
    <col min="13" max="16384" width="8.875" style="30"/>
  </cols>
  <sheetData>
    <row r="1" s="62" customFormat="1" ht="20.85" customHeight="1" spans="1:12">
      <c r="A1" s="112" t="s">
        <v>16</v>
      </c>
      <c r="B1" s="113"/>
      <c r="C1" s="112"/>
      <c r="D1" s="114"/>
      <c r="E1" s="114"/>
      <c r="F1" s="114"/>
      <c r="G1" s="112"/>
      <c r="H1" s="112"/>
      <c r="I1" s="112"/>
      <c r="J1" s="114"/>
      <c r="K1" s="242"/>
      <c r="L1" s="113"/>
    </row>
    <row r="2" s="62" customFormat="1" ht="20.85" customHeight="1" spans="1:12">
      <c r="A2" s="112" t="s">
        <v>23</v>
      </c>
      <c r="B2" s="113"/>
      <c r="C2" s="112"/>
      <c r="D2" s="114"/>
      <c r="E2" s="114"/>
      <c r="F2" s="114"/>
      <c r="G2" s="112"/>
      <c r="H2" s="112"/>
      <c r="I2" s="112"/>
      <c r="J2" s="114"/>
      <c r="K2" s="242"/>
      <c r="L2" s="113"/>
    </row>
    <row r="3" ht="18" customHeight="1" spans="1:12">
      <c r="A3" s="115" t="s">
        <v>1</v>
      </c>
      <c r="B3" s="96" t="s">
        <v>2</v>
      </c>
      <c r="C3" s="230" t="s">
        <v>24</v>
      </c>
      <c r="D3" s="231"/>
      <c r="E3" s="231"/>
      <c r="F3" s="232"/>
      <c r="G3" s="230" t="s">
        <v>25</v>
      </c>
      <c r="H3" s="231"/>
      <c r="I3" s="231"/>
      <c r="J3" s="232"/>
      <c r="K3" s="243" t="s">
        <v>26</v>
      </c>
      <c r="L3" s="244" t="s">
        <v>27</v>
      </c>
    </row>
    <row r="4" ht="27.4" customHeight="1" spans="1:12">
      <c r="A4" s="115"/>
      <c r="B4" s="96"/>
      <c r="C4" s="96" t="s">
        <v>28</v>
      </c>
      <c r="D4" s="97" t="s">
        <v>29</v>
      </c>
      <c r="E4" s="116" t="s">
        <v>30</v>
      </c>
      <c r="F4" s="116" t="s">
        <v>31</v>
      </c>
      <c r="G4" s="97" t="s">
        <v>28</v>
      </c>
      <c r="H4" s="97" t="s">
        <v>29</v>
      </c>
      <c r="I4" s="116" t="s">
        <v>30</v>
      </c>
      <c r="J4" s="116" t="s">
        <v>31</v>
      </c>
      <c r="K4" s="245"/>
      <c r="L4" s="96"/>
    </row>
    <row r="5" s="63" customFormat="1" ht="18" customHeight="1" spans="1:12">
      <c r="A5" s="94" t="s">
        <v>32</v>
      </c>
      <c r="B5" s="95" t="s">
        <v>33</v>
      </c>
      <c r="C5" s="102"/>
      <c r="D5" s="233"/>
      <c r="E5" s="103"/>
      <c r="F5" s="98">
        <v>1202.65</v>
      </c>
      <c r="G5" s="96"/>
      <c r="H5" s="97"/>
      <c r="I5" s="97"/>
      <c r="J5" s="98">
        <f>J6+J9+J43+J50</f>
        <v>1159.28</v>
      </c>
      <c r="K5" s="98">
        <f t="shared" ref="K5:K11" si="0">J5-F5</f>
        <v>-43.37</v>
      </c>
      <c r="L5" s="246"/>
    </row>
    <row r="6" s="63" customFormat="1" ht="18" customHeight="1" outlineLevel="1" spans="1:12">
      <c r="A6" s="73" t="s">
        <v>34</v>
      </c>
      <c r="B6" s="74" t="s">
        <v>35</v>
      </c>
      <c r="C6" s="234"/>
      <c r="D6" s="235"/>
      <c r="E6" s="219"/>
      <c r="F6" s="75">
        <v>57.58</v>
      </c>
      <c r="G6" s="70"/>
      <c r="H6" s="71"/>
      <c r="I6" s="71"/>
      <c r="J6" s="75">
        <f>SUM(J7:J8)</f>
        <v>57.58</v>
      </c>
      <c r="K6" s="247">
        <f t="shared" si="0"/>
        <v>0</v>
      </c>
      <c r="L6" s="248"/>
    </row>
    <row r="7" s="63" customFormat="1" ht="18" customHeight="1" outlineLevel="2" spans="1:12">
      <c r="A7" s="76" t="s">
        <v>39</v>
      </c>
      <c r="B7" s="77" t="s">
        <v>35</v>
      </c>
      <c r="C7" s="78" t="s">
        <v>36</v>
      </c>
      <c r="D7" s="79">
        <v>750</v>
      </c>
      <c r="E7" s="79">
        <v>500</v>
      </c>
      <c r="F7" s="80">
        <v>37.5</v>
      </c>
      <c r="G7" s="78" t="s">
        <v>36</v>
      </c>
      <c r="H7" s="79">
        <v>750</v>
      </c>
      <c r="I7" s="79">
        <v>500</v>
      </c>
      <c r="J7" s="249">
        <f>H7*I7/10000</f>
        <v>37.5</v>
      </c>
      <c r="K7" s="249">
        <f t="shared" si="0"/>
        <v>0</v>
      </c>
      <c r="L7" s="248"/>
    </row>
    <row r="8" s="63" customFormat="1" ht="18" customHeight="1" outlineLevel="2" spans="1:12">
      <c r="A8" s="76" t="s">
        <v>52</v>
      </c>
      <c r="B8" s="77" t="s">
        <v>122</v>
      </c>
      <c r="C8" s="78" t="s">
        <v>36</v>
      </c>
      <c r="D8" s="79">
        <v>1004</v>
      </c>
      <c r="E8" s="79">
        <v>200</v>
      </c>
      <c r="F8" s="80">
        <v>20.08</v>
      </c>
      <c r="G8" s="78" t="s">
        <v>36</v>
      </c>
      <c r="H8" s="79">
        <v>1004</v>
      </c>
      <c r="I8" s="79">
        <v>200</v>
      </c>
      <c r="J8" s="249">
        <f>H8*I8/10000</f>
        <v>20.08</v>
      </c>
      <c r="K8" s="249">
        <f t="shared" si="0"/>
        <v>0</v>
      </c>
      <c r="L8" s="248"/>
    </row>
    <row r="9" ht="18" customHeight="1" outlineLevel="1" spans="1:12">
      <c r="A9" s="73" t="s">
        <v>37</v>
      </c>
      <c r="B9" s="74" t="s">
        <v>38</v>
      </c>
      <c r="C9" s="234"/>
      <c r="D9" s="84"/>
      <c r="E9" s="219"/>
      <c r="F9" s="75">
        <v>879.38</v>
      </c>
      <c r="G9" s="82"/>
      <c r="H9" s="83"/>
      <c r="I9" s="79"/>
      <c r="J9" s="75">
        <f>SUM(J10,J15,J19,J23:J42)</f>
        <v>848.6</v>
      </c>
      <c r="K9" s="75">
        <f t="shared" si="0"/>
        <v>-30.78</v>
      </c>
      <c r="L9" s="250"/>
    </row>
    <row r="10" ht="18" customHeight="1" outlineLevel="2" spans="1:13">
      <c r="A10" s="76">
        <v>1</v>
      </c>
      <c r="B10" s="77" t="s">
        <v>288</v>
      </c>
      <c r="C10" s="78" t="s">
        <v>41</v>
      </c>
      <c r="D10" s="84">
        <v>2</v>
      </c>
      <c r="E10" s="79"/>
      <c r="F10" s="80">
        <v>90.58</v>
      </c>
      <c r="G10" s="78" t="s">
        <v>41</v>
      </c>
      <c r="H10" s="84">
        <v>2</v>
      </c>
      <c r="I10" s="79"/>
      <c r="J10" s="249">
        <f>SUM(J11:J14)</f>
        <v>84.07</v>
      </c>
      <c r="K10" s="249">
        <f t="shared" si="0"/>
        <v>-6.51</v>
      </c>
      <c r="L10" s="251" t="s">
        <v>289</v>
      </c>
      <c r="M10" s="228"/>
    </row>
    <row r="11" ht="18" customHeight="1" outlineLevel="2" spans="1:12">
      <c r="A11" s="76" t="s">
        <v>43</v>
      </c>
      <c r="B11" s="87" t="s">
        <v>44</v>
      </c>
      <c r="C11" s="78" t="s">
        <v>41</v>
      </c>
      <c r="D11" s="84">
        <v>2</v>
      </c>
      <c r="E11" s="79">
        <v>300041.71</v>
      </c>
      <c r="F11" s="236">
        <v>60.01</v>
      </c>
      <c r="G11" s="78" t="s">
        <v>41</v>
      </c>
      <c r="H11" s="84">
        <v>2</v>
      </c>
      <c r="I11" s="79">
        <v>300041.71</v>
      </c>
      <c r="J11" s="249">
        <f>H11*I11/10000</f>
        <v>60.01</v>
      </c>
      <c r="K11" s="249">
        <f t="shared" si="0"/>
        <v>0</v>
      </c>
      <c r="L11" s="251" t="s">
        <v>290</v>
      </c>
    </row>
    <row r="12" ht="18" customHeight="1" outlineLevel="2" spans="1:12">
      <c r="A12" s="76" t="s">
        <v>46</v>
      </c>
      <c r="B12" s="87" t="s">
        <v>291</v>
      </c>
      <c r="C12" s="78" t="s">
        <v>41</v>
      </c>
      <c r="D12" s="84">
        <v>2</v>
      </c>
      <c r="E12" s="79">
        <v>113200</v>
      </c>
      <c r="F12" s="236">
        <v>22.64</v>
      </c>
      <c r="G12" s="78" t="s">
        <v>41</v>
      </c>
      <c r="H12" s="84">
        <v>2</v>
      </c>
      <c r="I12" s="252">
        <v>90000</v>
      </c>
      <c r="J12" s="249">
        <f t="shared" ref="J12:J14" si="1">H12*I12/10000</f>
        <v>18</v>
      </c>
      <c r="K12" s="249">
        <f t="shared" ref="K12:K22" si="2">J12-F12</f>
        <v>-4.64</v>
      </c>
      <c r="L12" s="251" t="s">
        <v>251</v>
      </c>
    </row>
    <row r="13" ht="18" customHeight="1" outlineLevel="2" spans="1:12">
      <c r="A13" s="76" t="s">
        <v>49</v>
      </c>
      <c r="B13" s="87" t="s">
        <v>292</v>
      </c>
      <c r="C13" s="237" t="s">
        <v>51</v>
      </c>
      <c r="D13" s="84">
        <v>12</v>
      </c>
      <c r="E13" s="79">
        <v>4058.4</v>
      </c>
      <c r="F13" s="236">
        <v>4.87</v>
      </c>
      <c r="G13" s="237" t="s">
        <v>51</v>
      </c>
      <c r="H13" s="79">
        <v>12</v>
      </c>
      <c r="I13" s="253">
        <v>2500</v>
      </c>
      <c r="J13" s="249">
        <f t="shared" si="1"/>
        <v>3</v>
      </c>
      <c r="K13" s="249">
        <f t="shared" si="2"/>
        <v>-1.87</v>
      </c>
      <c r="L13" s="254"/>
    </row>
    <row r="14" ht="18" customHeight="1" outlineLevel="2" spans="1:12">
      <c r="A14" s="76" t="s">
        <v>62</v>
      </c>
      <c r="B14" s="87" t="s">
        <v>293</v>
      </c>
      <c r="C14" s="237" t="s">
        <v>51</v>
      </c>
      <c r="D14" s="84">
        <v>14</v>
      </c>
      <c r="E14" s="79">
        <v>2185.54</v>
      </c>
      <c r="F14" s="236">
        <v>3.06</v>
      </c>
      <c r="G14" s="237" t="s">
        <v>51</v>
      </c>
      <c r="H14" s="79">
        <v>14</v>
      </c>
      <c r="I14" s="79">
        <v>2185.54</v>
      </c>
      <c r="J14" s="249">
        <f t="shared" si="1"/>
        <v>3.06</v>
      </c>
      <c r="K14" s="249">
        <f t="shared" si="2"/>
        <v>0</v>
      </c>
      <c r="L14" s="254"/>
    </row>
    <row r="15" ht="18" customHeight="1" outlineLevel="2" spans="1:13">
      <c r="A15" s="76">
        <v>2</v>
      </c>
      <c r="B15" s="77" t="s">
        <v>288</v>
      </c>
      <c r="C15" s="78" t="s">
        <v>41</v>
      </c>
      <c r="D15" s="84">
        <v>1</v>
      </c>
      <c r="E15" s="79"/>
      <c r="F15" s="80">
        <v>18.1</v>
      </c>
      <c r="G15" s="78" t="s">
        <v>41</v>
      </c>
      <c r="H15" s="84">
        <v>1</v>
      </c>
      <c r="I15" s="79"/>
      <c r="J15" s="249">
        <f>SUM(J16:J18)</f>
        <v>14.67</v>
      </c>
      <c r="K15" s="249">
        <f t="shared" si="2"/>
        <v>-3.43</v>
      </c>
      <c r="L15" s="251" t="s">
        <v>289</v>
      </c>
      <c r="M15" s="228"/>
    </row>
    <row r="16" ht="18" customHeight="1" outlineLevel="2" spans="1:12">
      <c r="A16" s="76" t="s">
        <v>43</v>
      </c>
      <c r="B16" s="87" t="s">
        <v>44</v>
      </c>
      <c r="C16" s="237" t="s">
        <v>41</v>
      </c>
      <c r="D16" s="84">
        <v>1</v>
      </c>
      <c r="E16" s="79">
        <v>66677.41</v>
      </c>
      <c r="F16" s="236">
        <v>6.67</v>
      </c>
      <c r="G16" s="237" t="s">
        <v>41</v>
      </c>
      <c r="H16" s="84">
        <v>1</v>
      </c>
      <c r="I16" s="79">
        <v>66677.41</v>
      </c>
      <c r="J16" s="249">
        <f t="shared" ref="J16:J22" si="3">H16*I16/10000</f>
        <v>6.67</v>
      </c>
      <c r="K16" s="249">
        <f t="shared" si="2"/>
        <v>0</v>
      </c>
      <c r="L16" s="251" t="s">
        <v>294</v>
      </c>
    </row>
    <row r="17" ht="18" customHeight="1" outlineLevel="2" spans="1:12">
      <c r="A17" s="76" t="s">
        <v>46</v>
      </c>
      <c r="B17" s="87" t="s">
        <v>295</v>
      </c>
      <c r="C17" s="237" t="s">
        <v>41</v>
      </c>
      <c r="D17" s="84">
        <v>1</v>
      </c>
      <c r="E17" s="79">
        <v>25000</v>
      </c>
      <c r="F17" s="236">
        <v>2.5</v>
      </c>
      <c r="G17" s="237" t="s">
        <v>41</v>
      </c>
      <c r="H17" s="84">
        <v>1</v>
      </c>
      <c r="I17" s="79">
        <v>25000</v>
      </c>
      <c r="J17" s="249">
        <f t="shared" si="3"/>
        <v>2.5</v>
      </c>
      <c r="K17" s="249">
        <f t="shared" si="2"/>
        <v>0</v>
      </c>
      <c r="L17" s="251" t="s">
        <v>296</v>
      </c>
    </row>
    <row r="18" ht="18" customHeight="1" outlineLevel="2" spans="1:12">
      <c r="A18" s="76" t="s">
        <v>49</v>
      </c>
      <c r="B18" s="87" t="s">
        <v>292</v>
      </c>
      <c r="C18" s="237" t="s">
        <v>51</v>
      </c>
      <c r="D18" s="84">
        <v>22</v>
      </c>
      <c r="E18" s="79">
        <v>4058.4</v>
      </c>
      <c r="F18" s="236">
        <v>8.93</v>
      </c>
      <c r="G18" s="237" t="s">
        <v>51</v>
      </c>
      <c r="H18" s="79">
        <v>22</v>
      </c>
      <c r="I18" s="253">
        <v>2500</v>
      </c>
      <c r="J18" s="249">
        <f t="shared" si="3"/>
        <v>5.5</v>
      </c>
      <c r="K18" s="249">
        <f t="shared" si="2"/>
        <v>-3.43</v>
      </c>
      <c r="L18" s="254"/>
    </row>
    <row r="19" ht="18" customHeight="1" outlineLevel="2" spans="1:13">
      <c r="A19" s="76">
        <v>3</v>
      </c>
      <c r="B19" s="77" t="s">
        <v>297</v>
      </c>
      <c r="C19" s="78" t="s">
        <v>41</v>
      </c>
      <c r="D19" s="84">
        <v>1</v>
      </c>
      <c r="E19" s="79"/>
      <c r="F19" s="80">
        <v>53.11</v>
      </c>
      <c r="G19" s="78" t="s">
        <v>41</v>
      </c>
      <c r="H19" s="84">
        <v>1</v>
      </c>
      <c r="I19" s="79"/>
      <c r="J19" s="249">
        <f>SUM(J20:J22)</f>
        <v>49.99</v>
      </c>
      <c r="K19" s="249">
        <f t="shared" si="2"/>
        <v>-3.12</v>
      </c>
      <c r="L19" s="251" t="s">
        <v>42</v>
      </c>
      <c r="M19" s="228"/>
    </row>
    <row r="20" ht="18" customHeight="1" outlineLevel="2" spans="1:12">
      <c r="A20" s="76" t="s">
        <v>43</v>
      </c>
      <c r="B20" s="87" t="s">
        <v>44</v>
      </c>
      <c r="C20" s="237" t="s">
        <v>41</v>
      </c>
      <c r="D20" s="84">
        <v>1</v>
      </c>
      <c r="E20" s="79">
        <v>300041.71</v>
      </c>
      <c r="F20" s="236">
        <v>30</v>
      </c>
      <c r="G20" s="237" t="s">
        <v>41</v>
      </c>
      <c r="H20" s="84">
        <v>1</v>
      </c>
      <c r="I20" s="79">
        <v>300041.71</v>
      </c>
      <c r="J20" s="249">
        <f t="shared" si="3"/>
        <v>30</v>
      </c>
      <c r="K20" s="249">
        <f t="shared" si="2"/>
        <v>0</v>
      </c>
      <c r="L20" s="251" t="s">
        <v>290</v>
      </c>
    </row>
    <row r="21" ht="18" customHeight="1" outlineLevel="2" spans="1:12">
      <c r="A21" s="76" t="s">
        <v>46</v>
      </c>
      <c r="B21" s="87" t="s">
        <v>291</v>
      </c>
      <c r="C21" s="237" t="s">
        <v>41</v>
      </c>
      <c r="D21" s="84">
        <v>1</v>
      </c>
      <c r="E21" s="79">
        <v>149900</v>
      </c>
      <c r="F21" s="236">
        <v>14.99</v>
      </c>
      <c r="G21" s="237" t="s">
        <v>41</v>
      </c>
      <c r="H21" s="84">
        <v>1</v>
      </c>
      <c r="I21" s="79">
        <v>149900</v>
      </c>
      <c r="J21" s="249">
        <f t="shared" si="3"/>
        <v>14.99</v>
      </c>
      <c r="K21" s="249">
        <f t="shared" si="2"/>
        <v>0</v>
      </c>
      <c r="L21" s="251" t="s">
        <v>251</v>
      </c>
    </row>
    <row r="22" ht="18" customHeight="1" outlineLevel="2" spans="1:12">
      <c r="A22" s="76" t="s">
        <v>49</v>
      </c>
      <c r="B22" s="87" t="s">
        <v>292</v>
      </c>
      <c r="C22" s="237" t="s">
        <v>51</v>
      </c>
      <c r="D22" s="84">
        <v>20</v>
      </c>
      <c r="E22" s="79">
        <v>4058.4</v>
      </c>
      <c r="F22" s="236">
        <v>8.12</v>
      </c>
      <c r="G22" s="237" t="s">
        <v>51</v>
      </c>
      <c r="H22" s="79">
        <v>20</v>
      </c>
      <c r="I22" s="253">
        <v>2500</v>
      </c>
      <c r="J22" s="249">
        <f t="shared" si="3"/>
        <v>5</v>
      </c>
      <c r="K22" s="249">
        <f t="shared" si="2"/>
        <v>-3.12</v>
      </c>
      <c r="L22" s="254"/>
    </row>
    <row r="23" ht="18" customHeight="1" outlineLevel="2" spans="1:13">
      <c r="A23" s="76">
        <v>4</v>
      </c>
      <c r="B23" s="77" t="s">
        <v>298</v>
      </c>
      <c r="C23" s="78" t="s">
        <v>51</v>
      </c>
      <c r="D23" s="84">
        <v>1515</v>
      </c>
      <c r="E23" s="79">
        <v>1006.02</v>
      </c>
      <c r="F23" s="80">
        <v>152.41</v>
      </c>
      <c r="G23" s="78" t="s">
        <v>51</v>
      </c>
      <c r="H23" s="79">
        <v>1515</v>
      </c>
      <c r="I23" s="79">
        <v>980</v>
      </c>
      <c r="J23" s="249">
        <f t="shared" ref="J23:J42" si="4">H23*I23/10000</f>
        <v>148.47</v>
      </c>
      <c r="K23" s="249">
        <f t="shared" ref="K23:K28" si="5">J23-F23</f>
        <v>-3.94</v>
      </c>
      <c r="L23" s="254"/>
      <c r="M23" s="228"/>
    </row>
    <row r="24" ht="18" customHeight="1" outlineLevel="2" spans="1:13">
      <c r="A24" s="76">
        <v>5</v>
      </c>
      <c r="B24" s="77" t="s">
        <v>299</v>
      </c>
      <c r="C24" s="78" t="s">
        <v>51</v>
      </c>
      <c r="D24" s="84">
        <v>1371</v>
      </c>
      <c r="E24" s="79">
        <v>665.49</v>
      </c>
      <c r="F24" s="80">
        <v>91.24</v>
      </c>
      <c r="G24" s="78" t="s">
        <v>51</v>
      </c>
      <c r="H24" s="79">
        <v>1371</v>
      </c>
      <c r="I24" s="79">
        <v>650</v>
      </c>
      <c r="J24" s="249">
        <f t="shared" si="4"/>
        <v>89.12</v>
      </c>
      <c r="K24" s="249">
        <f t="shared" si="5"/>
        <v>-2.12</v>
      </c>
      <c r="L24" s="254"/>
      <c r="M24" s="228"/>
    </row>
    <row r="25" ht="18" customHeight="1" outlineLevel="2" spans="1:13">
      <c r="A25" s="76">
        <v>6</v>
      </c>
      <c r="B25" s="77" t="s">
        <v>300</v>
      </c>
      <c r="C25" s="78" t="s">
        <v>51</v>
      </c>
      <c r="D25" s="84">
        <v>2958</v>
      </c>
      <c r="E25" s="79">
        <v>358</v>
      </c>
      <c r="F25" s="80">
        <v>105.9</v>
      </c>
      <c r="G25" s="78" t="s">
        <v>51</v>
      </c>
      <c r="H25" s="79">
        <v>2958</v>
      </c>
      <c r="I25" s="79">
        <v>350</v>
      </c>
      <c r="J25" s="249">
        <f t="shared" si="4"/>
        <v>103.53</v>
      </c>
      <c r="K25" s="249">
        <f t="shared" si="5"/>
        <v>-2.37</v>
      </c>
      <c r="L25" s="254"/>
      <c r="M25" s="228"/>
    </row>
    <row r="26" ht="18" customHeight="1" outlineLevel="2" spans="1:13">
      <c r="A26" s="76">
        <v>7</v>
      </c>
      <c r="B26" s="77" t="s">
        <v>301</v>
      </c>
      <c r="C26" s="78" t="s">
        <v>51</v>
      </c>
      <c r="D26" s="84">
        <v>7782</v>
      </c>
      <c r="E26" s="79">
        <v>198.48</v>
      </c>
      <c r="F26" s="80">
        <v>154.46</v>
      </c>
      <c r="G26" s="78" t="s">
        <v>51</v>
      </c>
      <c r="H26" s="79">
        <v>7782</v>
      </c>
      <c r="I26" s="79">
        <v>195</v>
      </c>
      <c r="J26" s="249">
        <f t="shared" si="4"/>
        <v>151.75</v>
      </c>
      <c r="K26" s="249">
        <f t="shared" si="5"/>
        <v>-2.71</v>
      </c>
      <c r="L26" s="254"/>
      <c r="M26" s="228"/>
    </row>
    <row r="27" ht="18" customHeight="1" outlineLevel="2" spans="1:13">
      <c r="A27" s="76">
        <v>8</v>
      </c>
      <c r="B27" s="77" t="s">
        <v>302</v>
      </c>
      <c r="C27" s="78" t="s">
        <v>51</v>
      </c>
      <c r="D27" s="84">
        <v>912</v>
      </c>
      <c r="E27" s="79">
        <v>153.05</v>
      </c>
      <c r="F27" s="80">
        <v>13.96</v>
      </c>
      <c r="G27" s="78" t="s">
        <v>51</v>
      </c>
      <c r="H27" s="79">
        <v>912</v>
      </c>
      <c r="I27" s="79">
        <v>150</v>
      </c>
      <c r="J27" s="249">
        <f t="shared" si="4"/>
        <v>13.68</v>
      </c>
      <c r="K27" s="249">
        <f t="shared" si="5"/>
        <v>-0.28</v>
      </c>
      <c r="L27" s="254"/>
      <c r="M27" s="228"/>
    </row>
    <row r="28" ht="18" customHeight="1" outlineLevel="2" spans="1:13">
      <c r="A28" s="76">
        <v>9</v>
      </c>
      <c r="B28" s="77" t="s">
        <v>303</v>
      </c>
      <c r="C28" s="78" t="s">
        <v>51</v>
      </c>
      <c r="D28" s="84">
        <v>57</v>
      </c>
      <c r="E28" s="79">
        <v>77.38</v>
      </c>
      <c r="F28" s="80">
        <v>0.44</v>
      </c>
      <c r="G28" s="78" t="s">
        <v>51</v>
      </c>
      <c r="H28" s="79">
        <v>57</v>
      </c>
      <c r="I28" s="79">
        <v>75</v>
      </c>
      <c r="J28" s="249">
        <f t="shared" si="4"/>
        <v>0.43</v>
      </c>
      <c r="K28" s="249">
        <f t="shared" si="5"/>
        <v>-0.01</v>
      </c>
      <c r="L28" s="254"/>
      <c r="M28" s="228"/>
    </row>
    <row r="29" ht="18" customHeight="1" outlineLevel="2" spans="1:13">
      <c r="A29" s="76">
        <v>10</v>
      </c>
      <c r="B29" s="77" t="s">
        <v>139</v>
      </c>
      <c r="C29" s="78" t="s">
        <v>95</v>
      </c>
      <c r="D29" s="84">
        <v>1</v>
      </c>
      <c r="E29" s="79">
        <v>518403.47</v>
      </c>
      <c r="F29" s="80">
        <v>51.84</v>
      </c>
      <c r="G29" s="78" t="s">
        <v>95</v>
      </c>
      <c r="H29" s="84">
        <v>1</v>
      </c>
      <c r="I29" s="79">
        <v>518403.47</v>
      </c>
      <c r="J29" s="249">
        <f t="shared" si="4"/>
        <v>51.84</v>
      </c>
      <c r="K29" s="249">
        <f t="shared" ref="K29" si="6">J29-F29</f>
        <v>0</v>
      </c>
      <c r="L29" s="254"/>
      <c r="M29" s="228"/>
    </row>
    <row r="30" ht="18" customHeight="1" outlineLevel="2" spans="1:13">
      <c r="A30" s="76">
        <v>11</v>
      </c>
      <c r="B30" s="77" t="s">
        <v>304</v>
      </c>
      <c r="C30" s="78" t="s">
        <v>51</v>
      </c>
      <c r="D30" s="84">
        <v>25</v>
      </c>
      <c r="E30" s="79">
        <v>2820.53</v>
      </c>
      <c r="F30" s="80">
        <v>7.05</v>
      </c>
      <c r="G30" s="78" t="s">
        <v>51</v>
      </c>
      <c r="H30" s="79">
        <v>25</v>
      </c>
      <c r="I30" s="79">
        <v>2800</v>
      </c>
      <c r="J30" s="249">
        <f t="shared" si="4"/>
        <v>7</v>
      </c>
      <c r="K30" s="249">
        <f t="shared" ref="K30:K35" si="7">J30-F30</f>
        <v>-0.05</v>
      </c>
      <c r="L30" s="254"/>
      <c r="M30" s="228"/>
    </row>
    <row r="31" ht="18" customHeight="1" outlineLevel="2" spans="1:13">
      <c r="A31" s="76">
        <v>12</v>
      </c>
      <c r="B31" s="77" t="s">
        <v>305</v>
      </c>
      <c r="C31" s="78" t="s">
        <v>51</v>
      </c>
      <c r="D31" s="84">
        <v>20</v>
      </c>
      <c r="E31" s="79">
        <v>1997.3</v>
      </c>
      <c r="F31" s="80">
        <v>3.99</v>
      </c>
      <c r="G31" s="78" t="s">
        <v>51</v>
      </c>
      <c r="H31" s="79">
        <v>20</v>
      </c>
      <c r="I31" s="79">
        <v>1997.3</v>
      </c>
      <c r="J31" s="249">
        <f t="shared" si="4"/>
        <v>3.99</v>
      </c>
      <c r="K31" s="249">
        <f t="shared" si="7"/>
        <v>0</v>
      </c>
      <c r="L31" s="254"/>
      <c r="M31" s="228"/>
    </row>
    <row r="32" ht="18" customHeight="1" outlineLevel="2" spans="1:13">
      <c r="A32" s="76">
        <v>13</v>
      </c>
      <c r="B32" s="77" t="s">
        <v>306</v>
      </c>
      <c r="C32" s="78" t="s">
        <v>51</v>
      </c>
      <c r="D32" s="84">
        <v>24</v>
      </c>
      <c r="E32" s="79">
        <v>1426.42</v>
      </c>
      <c r="F32" s="80">
        <v>3.42</v>
      </c>
      <c r="G32" s="78" t="s">
        <v>51</v>
      </c>
      <c r="H32" s="79">
        <v>24</v>
      </c>
      <c r="I32" s="79">
        <v>1400</v>
      </c>
      <c r="J32" s="249">
        <f t="shared" si="4"/>
        <v>3.36</v>
      </c>
      <c r="K32" s="249">
        <f t="shared" si="7"/>
        <v>-0.06</v>
      </c>
      <c r="L32" s="254"/>
      <c r="M32" s="228"/>
    </row>
    <row r="33" ht="18" customHeight="1" outlineLevel="2" spans="1:13">
      <c r="A33" s="76">
        <v>14</v>
      </c>
      <c r="B33" s="77" t="s">
        <v>307</v>
      </c>
      <c r="C33" s="78" t="s">
        <v>51</v>
      </c>
      <c r="D33" s="84">
        <v>36</v>
      </c>
      <c r="E33" s="79">
        <v>818.92</v>
      </c>
      <c r="F33" s="80">
        <v>2.95</v>
      </c>
      <c r="G33" s="78" t="s">
        <v>51</v>
      </c>
      <c r="H33" s="79">
        <v>36</v>
      </c>
      <c r="I33" s="79">
        <v>818.92</v>
      </c>
      <c r="J33" s="249">
        <f t="shared" si="4"/>
        <v>2.95</v>
      </c>
      <c r="K33" s="249">
        <f t="shared" si="7"/>
        <v>0</v>
      </c>
      <c r="L33" s="254"/>
      <c r="M33" s="228"/>
    </row>
    <row r="34" ht="18" customHeight="1" outlineLevel="2" spans="1:13">
      <c r="A34" s="76">
        <v>15</v>
      </c>
      <c r="B34" s="77" t="s">
        <v>308</v>
      </c>
      <c r="C34" s="78" t="s">
        <v>51</v>
      </c>
      <c r="D34" s="84">
        <v>4</v>
      </c>
      <c r="E34" s="79">
        <v>462.76</v>
      </c>
      <c r="F34" s="80">
        <v>0.19</v>
      </c>
      <c r="G34" s="78" t="s">
        <v>51</v>
      </c>
      <c r="H34" s="79">
        <v>4</v>
      </c>
      <c r="I34" s="79">
        <v>450</v>
      </c>
      <c r="J34" s="249">
        <f t="shared" si="4"/>
        <v>0.18</v>
      </c>
      <c r="K34" s="249">
        <f t="shared" si="7"/>
        <v>-0.01</v>
      </c>
      <c r="L34" s="254"/>
      <c r="M34" s="228"/>
    </row>
    <row r="35" ht="18" customHeight="1" outlineLevel="2" spans="1:13">
      <c r="A35" s="76">
        <v>16</v>
      </c>
      <c r="B35" s="77" t="s">
        <v>309</v>
      </c>
      <c r="C35" s="78" t="s">
        <v>51</v>
      </c>
      <c r="D35" s="84">
        <v>37</v>
      </c>
      <c r="E35" s="79">
        <v>331.81</v>
      </c>
      <c r="F35" s="80">
        <v>1.23</v>
      </c>
      <c r="G35" s="78" t="s">
        <v>51</v>
      </c>
      <c r="H35" s="79">
        <v>37</v>
      </c>
      <c r="I35" s="79">
        <v>331.81</v>
      </c>
      <c r="J35" s="249">
        <f t="shared" si="4"/>
        <v>1.23</v>
      </c>
      <c r="K35" s="249">
        <f t="shared" si="7"/>
        <v>0</v>
      </c>
      <c r="L35" s="254"/>
      <c r="M35" s="228"/>
    </row>
    <row r="36" ht="18" customHeight="1" outlineLevel="2" spans="1:13">
      <c r="A36" s="76">
        <v>17</v>
      </c>
      <c r="B36" s="77" t="s">
        <v>310</v>
      </c>
      <c r="C36" s="78" t="s">
        <v>41</v>
      </c>
      <c r="D36" s="84">
        <v>7</v>
      </c>
      <c r="E36" s="79">
        <v>14815.37</v>
      </c>
      <c r="F36" s="80">
        <v>10.37</v>
      </c>
      <c r="G36" s="78" t="s">
        <v>41</v>
      </c>
      <c r="H36" s="84">
        <v>7</v>
      </c>
      <c r="I36" s="79">
        <v>14815.37</v>
      </c>
      <c r="J36" s="249">
        <f t="shared" si="4"/>
        <v>10.37</v>
      </c>
      <c r="K36" s="249">
        <f t="shared" ref="K36" si="8">J36-F36</f>
        <v>0</v>
      </c>
      <c r="L36" s="251" t="s">
        <v>311</v>
      </c>
      <c r="M36" s="228"/>
    </row>
    <row r="37" ht="18" customHeight="1" outlineLevel="2" spans="1:13">
      <c r="A37" s="76">
        <v>18</v>
      </c>
      <c r="B37" s="77" t="s">
        <v>312</v>
      </c>
      <c r="C37" s="78" t="s">
        <v>41</v>
      </c>
      <c r="D37" s="84">
        <v>34</v>
      </c>
      <c r="E37" s="79">
        <v>10359.3</v>
      </c>
      <c r="F37" s="80">
        <v>35.22</v>
      </c>
      <c r="G37" s="78" t="s">
        <v>41</v>
      </c>
      <c r="H37" s="84">
        <v>34</v>
      </c>
      <c r="I37" s="79">
        <v>10359.3</v>
      </c>
      <c r="J37" s="249">
        <f t="shared" si="4"/>
        <v>35.22</v>
      </c>
      <c r="K37" s="249">
        <f t="shared" ref="K37:K41" si="9">J37-F37</f>
        <v>0</v>
      </c>
      <c r="L37" s="251" t="s">
        <v>77</v>
      </c>
      <c r="M37" s="228"/>
    </row>
    <row r="38" ht="18" customHeight="1" outlineLevel="2" spans="1:13">
      <c r="A38" s="76">
        <v>19</v>
      </c>
      <c r="B38" s="77" t="s">
        <v>313</v>
      </c>
      <c r="C38" s="78" t="s">
        <v>41</v>
      </c>
      <c r="D38" s="84">
        <v>5</v>
      </c>
      <c r="E38" s="79">
        <v>9465.22</v>
      </c>
      <c r="F38" s="80">
        <v>4.73</v>
      </c>
      <c r="G38" s="78" t="s">
        <v>41</v>
      </c>
      <c r="H38" s="84">
        <v>5</v>
      </c>
      <c r="I38" s="79">
        <v>9465.22</v>
      </c>
      <c r="J38" s="249">
        <f t="shared" si="4"/>
        <v>4.73</v>
      </c>
      <c r="K38" s="249">
        <f t="shared" si="9"/>
        <v>0</v>
      </c>
      <c r="L38" s="251" t="s">
        <v>77</v>
      </c>
      <c r="M38" s="228"/>
    </row>
    <row r="39" ht="18" customHeight="1" outlineLevel="2" spans="1:13">
      <c r="A39" s="76">
        <v>20</v>
      </c>
      <c r="B39" s="77" t="s">
        <v>314</v>
      </c>
      <c r="C39" s="78" t="s">
        <v>41</v>
      </c>
      <c r="D39" s="84">
        <v>4</v>
      </c>
      <c r="E39" s="79">
        <v>7132.19</v>
      </c>
      <c r="F39" s="80">
        <v>2.85</v>
      </c>
      <c r="G39" s="78" t="s">
        <v>41</v>
      </c>
      <c r="H39" s="84">
        <v>4</v>
      </c>
      <c r="I39" s="79">
        <v>7132.19</v>
      </c>
      <c r="J39" s="249">
        <f t="shared" si="4"/>
        <v>2.85</v>
      </c>
      <c r="K39" s="249">
        <f t="shared" si="9"/>
        <v>0</v>
      </c>
      <c r="L39" s="251" t="s">
        <v>315</v>
      </c>
      <c r="M39" s="228"/>
    </row>
    <row r="40" ht="18" customHeight="1" outlineLevel="2" spans="1:13">
      <c r="A40" s="76">
        <v>21</v>
      </c>
      <c r="B40" s="77" t="s">
        <v>146</v>
      </c>
      <c r="C40" s="78" t="s">
        <v>60</v>
      </c>
      <c r="D40" s="84">
        <v>201</v>
      </c>
      <c r="E40" s="79">
        <v>1246.88</v>
      </c>
      <c r="F40" s="80">
        <v>25.06</v>
      </c>
      <c r="G40" s="78" t="s">
        <v>60</v>
      </c>
      <c r="H40" s="84">
        <v>201</v>
      </c>
      <c r="I40" s="79">
        <v>1200</v>
      </c>
      <c r="J40" s="249">
        <f t="shared" si="4"/>
        <v>24.12</v>
      </c>
      <c r="K40" s="249">
        <f t="shared" si="9"/>
        <v>-0.94</v>
      </c>
      <c r="L40" s="254"/>
      <c r="M40" s="228"/>
    </row>
    <row r="41" ht="18" customHeight="1" outlineLevel="2" spans="1:13">
      <c r="A41" s="76">
        <v>22</v>
      </c>
      <c r="B41" s="77" t="s">
        <v>316</v>
      </c>
      <c r="C41" s="78" t="s">
        <v>51</v>
      </c>
      <c r="D41" s="84">
        <v>804</v>
      </c>
      <c r="E41" s="79">
        <v>492.79</v>
      </c>
      <c r="F41" s="80">
        <v>39.62</v>
      </c>
      <c r="G41" s="78" t="s">
        <v>51</v>
      </c>
      <c r="H41" s="79">
        <v>804</v>
      </c>
      <c r="I41" s="79">
        <v>492.79</v>
      </c>
      <c r="J41" s="249">
        <f t="shared" si="4"/>
        <v>39.62</v>
      </c>
      <c r="K41" s="249">
        <f t="shared" si="9"/>
        <v>0</v>
      </c>
      <c r="L41" s="254"/>
      <c r="M41" s="228"/>
    </row>
    <row r="42" ht="18" customHeight="1" outlineLevel="2" spans="1:13">
      <c r="A42" s="76">
        <v>23</v>
      </c>
      <c r="B42" s="77" t="s">
        <v>317</v>
      </c>
      <c r="C42" s="78" t="s">
        <v>60</v>
      </c>
      <c r="D42" s="84">
        <v>201</v>
      </c>
      <c r="E42" s="79">
        <v>235.21</v>
      </c>
      <c r="F42" s="80">
        <v>4.73</v>
      </c>
      <c r="G42" s="78" t="s">
        <v>60</v>
      </c>
      <c r="H42" s="84">
        <v>201</v>
      </c>
      <c r="I42" s="253">
        <v>270</v>
      </c>
      <c r="J42" s="249">
        <f t="shared" si="4"/>
        <v>5.43</v>
      </c>
      <c r="K42" s="249">
        <f t="shared" ref="K42:K44" si="10">J42-F42</f>
        <v>0.7</v>
      </c>
      <c r="L42" s="251" t="s">
        <v>318</v>
      </c>
      <c r="M42" s="228"/>
    </row>
    <row r="43" ht="18" customHeight="1" outlineLevel="1" spans="1:12">
      <c r="A43" s="73" t="s">
        <v>71</v>
      </c>
      <c r="B43" s="74" t="s">
        <v>72</v>
      </c>
      <c r="C43" s="234"/>
      <c r="D43" s="84"/>
      <c r="E43" s="79"/>
      <c r="F43" s="75">
        <v>258.72</v>
      </c>
      <c r="G43" s="90"/>
      <c r="H43" s="91"/>
      <c r="I43" s="86"/>
      <c r="J43" s="75">
        <f>SUM(J44:J49)</f>
        <v>246.14</v>
      </c>
      <c r="K43" s="75">
        <f t="shared" si="10"/>
        <v>-12.58</v>
      </c>
      <c r="L43" s="255"/>
    </row>
    <row r="44" ht="18" customHeight="1" outlineLevel="2" spans="1:12">
      <c r="A44" s="76">
        <v>1</v>
      </c>
      <c r="B44" s="77" t="s">
        <v>319</v>
      </c>
      <c r="C44" s="86" t="s">
        <v>320</v>
      </c>
      <c r="D44" s="79">
        <v>6819</v>
      </c>
      <c r="E44" s="79">
        <v>235.74</v>
      </c>
      <c r="F44" s="80">
        <v>160.75</v>
      </c>
      <c r="G44" s="86" t="s">
        <v>320</v>
      </c>
      <c r="H44" s="238">
        <v>6819</v>
      </c>
      <c r="I44" s="238">
        <v>220</v>
      </c>
      <c r="J44" s="238">
        <f>H44*I44/10000</f>
        <v>150.02</v>
      </c>
      <c r="K44" s="238">
        <f t="shared" si="10"/>
        <v>-10.73</v>
      </c>
      <c r="L44" s="256" t="s">
        <v>75</v>
      </c>
    </row>
    <row r="45" ht="18" customHeight="1" outlineLevel="2" spans="1:12">
      <c r="A45" s="76">
        <v>2</v>
      </c>
      <c r="B45" s="77" t="s">
        <v>321</v>
      </c>
      <c r="C45" s="86" t="s">
        <v>320</v>
      </c>
      <c r="D45" s="79">
        <v>1270</v>
      </c>
      <c r="E45" s="79">
        <v>234.67</v>
      </c>
      <c r="F45" s="80">
        <v>29.8</v>
      </c>
      <c r="G45" s="86" t="s">
        <v>320</v>
      </c>
      <c r="H45" s="238">
        <v>1270</v>
      </c>
      <c r="I45" s="238">
        <v>220</v>
      </c>
      <c r="J45" s="238">
        <f t="shared" ref="J45:J49" si="11">H45*I45/10000</f>
        <v>27.94</v>
      </c>
      <c r="K45" s="238">
        <f t="shared" ref="K45:K50" si="12">J45-F45</f>
        <v>-1.86</v>
      </c>
      <c r="L45" s="256" t="s">
        <v>77</v>
      </c>
    </row>
    <row r="46" ht="18" customHeight="1" outlineLevel="2" spans="1:12">
      <c r="A46" s="76">
        <v>3</v>
      </c>
      <c r="B46" s="77" t="s">
        <v>322</v>
      </c>
      <c r="C46" s="86" t="s">
        <v>320</v>
      </c>
      <c r="D46" s="79">
        <v>137</v>
      </c>
      <c r="E46" s="79">
        <v>273.81</v>
      </c>
      <c r="F46" s="80">
        <v>3.74</v>
      </c>
      <c r="G46" s="86" t="s">
        <v>320</v>
      </c>
      <c r="H46" s="238">
        <v>137</v>
      </c>
      <c r="I46" s="238">
        <v>273.81</v>
      </c>
      <c r="J46" s="238">
        <f t="shared" si="11"/>
        <v>3.75</v>
      </c>
      <c r="K46" s="238">
        <f t="shared" si="12"/>
        <v>0.01</v>
      </c>
      <c r="L46" s="256" t="s">
        <v>221</v>
      </c>
    </row>
    <row r="47" ht="18" customHeight="1" outlineLevel="2" spans="1:12">
      <c r="A47" s="76">
        <v>4</v>
      </c>
      <c r="B47" s="77" t="s">
        <v>323</v>
      </c>
      <c r="C47" s="78" t="s">
        <v>41</v>
      </c>
      <c r="D47" s="84">
        <v>27</v>
      </c>
      <c r="E47" s="79">
        <v>15518.51</v>
      </c>
      <c r="F47" s="80">
        <v>41.9</v>
      </c>
      <c r="G47" s="78" t="s">
        <v>41</v>
      </c>
      <c r="H47" s="84">
        <v>27</v>
      </c>
      <c r="I47" s="79">
        <v>15518.51</v>
      </c>
      <c r="J47" s="238">
        <f t="shared" si="11"/>
        <v>41.9</v>
      </c>
      <c r="K47" s="238">
        <f t="shared" si="12"/>
        <v>0</v>
      </c>
      <c r="L47" s="251" t="s">
        <v>324</v>
      </c>
    </row>
    <row r="48" ht="18" customHeight="1" outlineLevel="2" spans="1:12">
      <c r="A48" s="76">
        <v>5</v>
      </c>
      <c r="B48" s="77" t="s">
        <v>325</v>
      </c>
      <c r="C48" s="78" t="s">
        <v>41</v>
      </c>
      <c r="D48" s="84">
        <v>11</v>
      </c>
      <c r="E48" s="79">
        <v>1766.24</v>
      </c>
      <c r="F48" s="80">
        <v>1.94</v>
      </c>
      <c r="G48" s="78" t="s">
        <v>41</v>
      </c>
      <c r="H48" s="84">
        <v>11</v>
      </c>
      <c r="I48" s="79">
        <v>1766.24</v>
      </c>
      <c r="J48" s="238">
        <f t="shared" si="11"/>
        <v>1.94</v>
      </c>
      <c r="K48" s="238">
        <f t="shared" si="12"/>
        <v>0</v>
      </c>
      <c r="L48" s="256" t="s">
        <v>326</v>
      </c>
    </row>
    <row r="49" ht="18" customHeight="1" outlineLevel="2" spans="1:12">
      <c r="A49" s="76">
        <v>6</v>
      </c>
      <c r="B49" s="77" t="s">
        <v>327</v>
      </c>
      <c r="C49" s="86" t="s">
        <v>320</v>
      </c>
      <c r="D49" s="84">
        <v>888</v>
      </c>
      <c r="E49" s="79">
        <v>231.85</v>
      </c>
      <c r="F49" s="80">
        <v>20.59</v>
      </c>
      <c r="G49" s="86" t="s">
        <v>320</v>
      </c>
      <c r="H49" s="79">
        <v>888</v>
      </c>
      <c r="I49" s="79">
        <v>231.85</v>
      </c>
      <c r="J49" s="238">
        <f t="shared" si="11"/>
        <v>20.59</v>
      </c>
      <c r="K49" s="238">
        <f t="shared" si="12"/>
        <v>0</v>
      </c>
      <c r="L49" s="256" t="s">
        <v>328</v>
      </c>
    </row>
    <row r="50" ht="18" customHeight="1" outlineLevel="1" spans="1:16">
      <c r="A50" s="73" t="s">
        <v>92</v>
      </c>
      <c r="B50" s="74" t="s">
        <v>93</v>
      </c>
      <c r="C50" s="78"/>
      <c r="D50" s="84"/>
      <c r="E50" s="79"/>
      <c r="F50" s="218">
        <v>6.96</v>
      </c>
      <c r="G50" s="100"/>
      <c r="H50" s="101"/>
      <c r="I50" s="86"/>
      <c r="J50" s="218">
        <f>SUM(J51:J52)</f>
        <v>6.96</v>
      </c>
      <c r="K50" s="218">
        <f t="shared" si="12"/>
        <v>0</v>
      </c>
      <c r="L50" s="257"/>
      <c r="M50" s="65"/>
      <c r="N50" s="65"/>
      <c r="O50" s="65"/>
      <c r="P50" s="65"/>
    </row>
    <row r="51" ht="18" customHeight="1" outlineLevel="2" spans="1:16">
      <c r="A51" s="76">
        <v>1</v>
      </c>
      <c r="B51" s="77" t="s">
        <v>329</v>
      </c>
      <c r="C51" s="78" t="s">
        <v>51</v>
      </c>
      <c r="D51" s="84">
        <v>380</v>
      </c>
      <c r="E51" s="79">
        <v>120</v>
      </c>
      <c r="F51" s="93">
        <v>4.56</v>
      </c>
      <c r="G51" s="78" t="s">
        <v>51</v>
      </c>
      <c r="H51" s="79">
        <v>380</v>
      </c>
      <c r="I51" s="79">
        <v>120</v>
      </c>
      <c r="J51" s="238">
        <f t="shared" ref="J51" si="13">H51*I51/10000</f>
        <v>4.56</v>
      </c>
      <c r="K51" s="238">
        <f t="shared" ref="K51" si="14">J51-F51</f>
        <v>0</v>
      </c>
      <c r="L51" s="257"/>
      <c r="M51" s="258"/>
      <c r="N51" s="65"/>
      <c r="O51" s="65"/>
      <c r="P51" s="65"/>
    </row>
    <row r="52" ht="18" customHeight="1" outlineLevel="2" spans="1:16">
      <c r="A52" s="76">
        <v>2</v>
      </c>
      <c r="B52" s="77" t="s">
        <v>224</v>
      </c>
      <c r="C52" s="78" t="s">
        <v>225</v>
      </c>
      <c r="D52" s="84">
        <v>4</v>
      </c>
      <c r="E52" s="79">
        <v>6000</v>
      </c>
      <c r="F52" s="93">
        <v>2.4</v>
      </c>
      <c r="G52" s="78" t="s">
        <v>225</v>
      </c>
      <c r="H52" s="84">
        <v>4</v>
      </c>
      <c r="I52" s="79">
        <v>6000</v>
      </c>
      <c r="J52" s="238">
        <f t="shared" ref="J52" si="15">H52*I52/10000</f>
        <v>2.4</v>
      </c>
      <c r="K52" s="238">
        <f t="shared" ref="K52:K54" si="16">J52-F52</f>
        <v>0</v>
      </c>
      <c r="L52" s="257"/>
      <c r="M52" s="258"/>
      <c r="N52" s="65"/>
      <c r="O52" s="65"/>
      <c r="P52" s="65"/>
    </row>
    <row r="53" s="63" customFormat="1" ht="18" customHeight="1" spans="1:12">
      <c r="A53" s="94" t="s">
        <v>100</v>
      </c>
      <c r="B53" s="95" t="s">
        <v>101</v>
      </c>
      <c r="C53" s="102"/>
      <c r="D53" s="233"/>
      <c r="E53" s="103"/>
      <c r="F53" s="98">
        <v>139.08</v>
      </c>
      <c r="G53" s="96"/>
      <c r="H53" s="97"/>
      <c r="I53" s="97"/>
      <c r="J53" s="98">
        <f>SUM(J54:J63)</f>
        <v>125.39</v>
      </c>
      <c r="K53" s="103">
        <f t="shared" si="16"/>
        <v>-13.69</v>
      </c>
      <c r="L53" s="259">
        <f>J53/J64</f>
        <v>0.0976</v>
      </c>
    </row>
    <row r="54" ht="18" customHeight="1" spans="1:12">
      <c r="A54" s="239">
        <v>1</v>
      </c>
      <c r="B54" s="99" t="s">
        <v>102</v>
      </c>
      <c r="C54" s="240"/>
      <c r="D54" s="240"/>
      <c r="E54" s="240"/>
      <c r="F54" s="93">
        <v>36.08</v>
      </c>
      <c r="G54" s="100"/>
      <c r="H54" s="101"/>
      <c r="I54" s="86"/>
      <c r="J54" s="93">
        <f>J65*3%</f>
        <v>39.48</v>
      </c>
      <c r="K54" s="93">
        <f t="shared" si="16"/>
        <v>3.4</v>
      </c>
      <c r="L54" s="256" t="s">
        <v>103</v>
      </c>
    </row>
    <row r="55" ht="18" customHeight="1" spans="1:12">
      <c r="A55" s="239">
        <v>2</v>
      </c>
      <c r="B55" s="99" t="s">
        <v>104</v>
      </c>
      <c r="C55" s="240"/>
      <c r="D55" s="240"/>
      <c r="E55" s="240"/>
      <c r="F55" s="93"/>
      <c r="G55" s="100"/>
      <c r="H55" s="101"/>
      <c r="I55" s="86"/>
      <c r="J55" s="260"/>
      <c r="K55" s="83"/>
      <c r="L55" s="256"/>
    </row>
    <row r="56" s="63" customFormat="1" ht="18" customHeight="1" spans="1:12">
      <c r="A56" s="76" t="s">
        <v>43</v>
      </c>
      <c r="B56" s="148" t="s">
        <v>105</v>
      </c>
      <c r="C56" s="240"/>
      <c r="D56" s="240"/>
      <c r="E56" s="240"/>
      <c r="F56" s="93">
        <v>31.47</v>
      </c>
      <c r="G56" s="70"/>
      <c r="H56" s="71"/>
      <c r="I56" s="71"/>
      <c r="J56" s="93">
        <f>(30.1+(J5-1000)*(48/2000))*0.9*0.85</f>
        <v>25.95</v>
      </c>
      <c r="K56" s="93">
        <f>J56-F56</f>
        <v>-5.52</v>
      </c>
      <c r="L56" s="256" t="s">
        <v>106</v>
      </c>
    </row>
    <row r="57" s="63" customFormat="1" ht="18" customHeight="1" spans="1:12">
      <c r="A57" s="76" t="s">
        <v>46</v>
      </c>
      <c r="B57" s="148" t="s">
        <v>107</v>
      </c>
      <c r="C57" s="240"/>
      <c r="D57" s="240"/>
      <c r="E57" s="240"/>
      <c r="F57" s="93">
        <v>8.02</v>
      </c>
      <c r="G57" s="70"/>
      <c r="H57" s="71"/>
      <c r="I57" s="71"/>
      <c r="J57" s="93">
        <f>6.8+(J65-1000)*0.6%</f>
        <v>8.7</v>
      </c>
      <c r="K57" s="93">
        <f>J57-F57</f>
        <v>0.68</v>
      </c>
      <c r="L57" s="261" t="s">
        <v>108</v>
      </c>
    </row>
    <row r="58" ht="18" customHeight="1" spans="1:12">
      <c r="A58" s="239">
        <v>3</v>
      </c>
      <c r="B58" s="99" t="s">
        <v>109</v>
      </c>
      <c r="C58" s="240"/>
      <c r="D58" s="241"/>
      <c r="E58" s="241"/>
      <c r="F58" s="93">
        <v>6.63</v>
      </c>
      <c r="G58" s="86"/>
      <c r="H58" s="101"/>
      <c r="I58" s="86"/>
      <c r="J58" s="93">
        <f>3.1+(J5-1000)*0.285%</f>
        <v>3.55</v>
      </c>
      <c r="K58" s="93">
        <f>J58-F58</f>
        <v>-3.08</v>
      </c>
      <c r="L58" s="262"/>
    </row>
    <row r="59" ht="18" customHeight="1" spans="1:12">
      <c r="A59" s="239" t="s">
        <v>80</v>
      </c>
      <c r="B59" s="99" t="s">
        <v>110</v>
      </c>
      <c r="C59" s="240"/>
      <c r="D59" s="241"/>
      <c r="E59" s="241"/>
      <c r="F59" s="93">
        <v>4.01</v>
      </c>
      <c r="G59" s="86"/>
      <c r="H59" s="101"/>
      <c r="I59" s="86"/>
      <c r="J59" s="93">
        <f>3.42+(J5-1000)*0.29%</f>
        <v>3.88</v>
      </c>
      <c r="K59" s="93">
        <f>J59-F59</f>
        <v>-0.13</v>
      </c>
      <c r="L59" s="262" t="s">
        <v>111</v>
      </c>
    </row>
    <row r="60" ht="18" customHeight="1" spans="1:12">
      <c r="A60" s="239" t="s">
        <v>83</v>
      </c>
      <c r="B60" s="99" t="s">
        <v>112</v>
      </c>
      <c r="C60" s="240"/>
      <c r="D60" s="241"/>
      <c r="E60" s="241"/>
      <c r="F60" s="93"/>
      <c r="G60" s="86"/>
      <c r="H60" s="101"/>
      <c r="I60" s="86"/>
      <c r="J60" s="86"/>
      <c r="K60" s="83"/>
      <c r="L60" s="262"/>
    </row>
    <row r="61" ht="18" customHeight="1" spans="1:12">
      <c r="A61" s="76" t="s">
        <v>43</v>
      </c>
      <c r="B61" s="148" t="s">
        <v>113</v>
      </c>
      <c r="C61" s="240"/>
      <c r="D61" s="240"/>
      <c r="E61" s="240"/>
      <c r="F61" s="93">
        <v>12.03</v>
      </c>
      <c r="G61" s="86"/>
      <c r="H61" s="101"/>
      <c r="I61" s="86"/>
      <c r="J61" s="93">
        <f>J5*1%</f>
        <v>11.59</v>
      </c>
      <c r="K61" s="93">
        <f>J61-F61</f>
        <v>-0.44</v>
      </c>
      <c r="L61" s="262" t="s">
        <v>114</v>
      </c>
    </row>
    <row r="62" ht="18" customHeight="1" spans="1:12">
      <c r="A62" s="76" t="s">
        <v>46</v>
      </c>
      <c r="B62" s="148" t="s">
        <v>115</v>
      </c>
      <c r="C62" s="240"/>
      <c r="D62" s="240"/>
      <c r="E62" s="240"/>
      <c r="F62" s="93">
        <v>40.85</v>
      </c>
      <c r="G62" s="86"/>
      <c r="H62" s="101"/>
      <c r="I62" s="86"/>
      <c r="J62" s="93">
        <f>(38.8+(J5-1000)*3.25%)*0.8*0.85</f>
        <v>29.9</v>
      </c>
      <c r="K62" s="93">
        <f>J62-F62</f>
        <v>-10.95</v>
      </c>
      <c r="L62" s="262" t="s">
        <v>116</v>
      </c>
    </row>
    <row r="63" ht="18" customHeight="1" spans="1:12">
      <c r="A63" s="239" t="s">
        <v>85</v>
      </c>
      <c r="B63" s="99" t="s">
        <v>117</v>
      </c>
      <c r="C63" s="240"/>
      <c r="D63" s="240"/>
      <c r="E63" s="240"/>
      <c r="F63" s="93"/>
      <c r="G63" s="86"/>
      <c r="H63" s="101"/>
      <c r="I63" s="86"/>
      <c r="J63" s="93">
        <f>1.2+(J65-500)*0.14%</f>
        <v>2.34</v>
      </c>
      <c r="K63" s="93">
        <f>J63-F63</f>
        <v>2.34</v>
      </c>
      <c r="L63" s="263" t="s">
        <v>118</v>
      </c>
    </row>
    <row r="64" s="63" customFormat="1" ht="18" customHeight="1" spans="1:12">
      <c r="A64" s="94" t="s">
        <v>119</v>
      </c>
      <c r="B64" s="95" t="s">
        <v>120</v>
      </c>
      <c r="C64" s="102" t="s">
        <v>36</v>
      </c>
      <c r="D64" s="103">
        <v>1004</v>
      </c>
      <c r="E64" s="103">
        <f>F64*10000/D64</f>
        <v>13363.84</v>
      </c>
      <c r="F64" s="98">
        <v>1341.73</v>
      </c>
      <c r="G64" s="96" t="s">
        <v>36</v>
      </c>
      <c r="H64" s="103">
        <v>1004</v>
      </c>
      <c r="I64" s="264">
        <f>J64/H64*10000</f>
        <v>12795.52</v>
      </c>
      <c r="J64" s="98">
        <f>J5+J53</f>
        <v>1284.67</v>
      </c>
      <c r="K64" s="103">
        <f>J64-F64</f>
        <v>-57.06</v>
      </c>
      <c r="L64" s="246"/>
    </row>
    <row r="65" customHeight="1" spans="9:12">
      <c r="I65" s="265" t="s">
        <v>121</v>
      </c>
      <c r="J65" s="266">
        <v>1316.08</v>
      </c>
      <c r="L65" s="267">
        <f>K64/F64</f>
        <v>-0.043</v>
      </c>
    </row>
    <row r="67" customHeight="1" spans="10:10">
      <c r="J67" s="149"/>
    </row>
  </sheetData>
  <mergeCells count="8">
    <mergeCell ref="A1:L1"/>
    <mergeCell ref="A2:L2"/>
    <mergeCell ref="C3:F3"/>
    <mergeCell ref="G3:J3"/>
    <mergeCell ref="A3:A4"/>
    <mergeCell ref="B3:B4"/>
    <mergeCell ref="K3:K4"/>
    <mergeCell ref="L3:L4"/>
  </mergeCells>
  <printOptions horizontalCentered="1"/>
  <pageMargins left="0.393055555555556" right="0.393055555555556" top="0.590277777777778" bottom="0.786805555555556" header="0.313888888888889" footer="0.590277777777778"/>
  <pageSetup paperSize="9" scale="79" fitToHeight="0" orientation="landscape"/>
  <headerFooter>
    <oddFooter>&amp;C&amp;10&amp;P/&amp;N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tabSelected="1" workbookViewId="0">
      <selection activeCell="AG5" sqref="AG5"/>
    </sheetView>
  </sheetViews>
  <sheetFormatPr defaultColWidth="8.875" defaultRowHeight="20.1" customHeight="1"/>
  <cols>
    <col min="1" max="1" width="6.75" style="64" customWidth="1"/>
    <col min="2" max="2" width="32.625" style="65" customWidth="1"/>
    <col min="3" max="3" width="8.625" style="66" customWidth="1"/>
    <col min="4" max="4" width="12.625" style="30" customWidth="1"/>
    <col min="5" max="6" width="12.625" style="66" customWidth="1"/>
    <col min="7" max="31" width="8.875" style="30" hidden="1" customWidth="1"/>
    <col min="32" max="32" width="11.125" style="30" customWidth="1"/>
    <col min="33" max="16384" width="8.875" style="30"/>
  </cols>
  <sheetData>
    <row r="1" s="62" customFormat="1" ht="20.85" customHeight="1" spans="1:6">
      <c r="A1" s="189" t="s">
        <v>330</v>
      </c>
      <c r="B1" s="189"/>
      <c r="C1" s="199"/>
      <c r="D1" s="199"/>
      <c r="E1" s="199"/>
      <c r="F1" s="199"/>
    </row>
    <row r="2" s="62" customFormat="1" ht="21" customHeight="1" spans="1:6">
      <c r="A2" s="190" t="s">
        <v>331</v>
      </c>
      <c r="B2" s="190"/>
      <c r="C2" s="190"/>
      <c r="D2" s="190"/>
      <c r="E2" s="190"/>
      <c r="F2" s="190"/>
    </row>
    <row r="3" ht="27.4" customHeight="1" spans="1:6">
      <c r="A3" s="69" t="s">
        <v>1</v>
      </c>
      <c r="B3" s="70" t="s">
        <v>332</v>
      </c>
      <c r="C3" s="71" t="s">
        <v>28</v>
      </c>
      <c r="D3" s="71" t="s">
        <v>29</v>
      </c>
      <c r="E3" s="72" t="s">
        <v>30</v>
      </c>
      <c r="F3" s="72" t="s">
        <v>31</v>
      </c>
    </row>
    <row r="4" s="63" customFormat="1" ht="18" customHeight="1" spans="1:6">
      <c r="A4" s="200" t="s">
        <v>32</v>
      </c>
      <c r="B4" s="201" t="s">
        <v>33</v>
      </c>
      <c r="C4" s="202"/>
      <c r="D4" s="203"/>
      <c r="E4" s="71"/>
      <c r="F4" s="75">
        <v>2184.86</v>
      </c>
    </row>
    <row r="5" s="63" customFormat="1" ht="18" customHeight="1" outlineLevel="1" spans="1:6">
      <c r="A5" s="200" t="s">
        <v>34</v>
      </c>
      <c r="B5" s="201" t="s">
        <v>35</v>
      </c>
      <c r="C5" s="202"/>
      <c r="D5" s="203"/>
      <c r="E5" s="71"/>
      <c r="F5" s="75">
        <v>24.4</v>
      </c>
    </row>
    <row r="6" s="63" customFormat="1" ht="18" customHeight="1" outlineLevel="2" spans="1:6">
      <c r="A6" s="195">
        <v>1</v>
      </c>
      <c r="B6" s="204" t="s">
        <v>35</v>
      </c>
      <c r="C6" s="205" t="s">
        <v>36</v>
      </c>
      <c r="D6" s="206">
        <v>488</v>
      </c>
      <c r="E6" s="79">
        <v>500</v>
      </c>
      <c r="F6" s="93">
        <v>24.4</v>
      </c>
    </row>
    <row r="7" ht="18" customHeight="1" outlineLevel="1" spans="1:6">
      <c r="A7" s="200" t="s">
        <v>37</v>
      </c>
      <c r="B7" s="201" t="s">
        <v>38</v>
      </c>
      <c r="C7" s="207"/>
      <c r="D7" s="208"/>
      <c r="E7" s="79"/>
      <c r="F7" s="75">
        <v>1955.04</v>
      </c>
    </row>
    <row r="8" ht="18" customHeight="1" outlineLevel="2" spans="1:6">
      <c r="A8" s="195">
        <v>1</v>
      </c>
      <c r="B8" s="204" t="s">
        <v>288</v>
      </c>
      <c r="C8" s="205" t="s">
        <v>41</v>
      </c>
      <c r="D8" s="209">
        <v>5</v>
      </c>
      <c r="E8" s="79"/>
      <c r="F8" s="93">
        <v>222.64</v>
      </c>
    </row>
    <row r="9" ht="18" customHeight="1" outlineLevel="2" spans="1:6">
      <c r="A9" s="195" t="s">
        <v>43</v>
      </c>
      <c r="B9" s="210" t="s">
        <v>44</v>
      </c>
      <c r="C9" s="205" t="s">
        <v>41</v>
      </c>
      <c r="D9" s="209">
        <v>5</v>
      </c>
      <c r="E9" s="79">
        <v>297649.94</v>
      </c>
      <c r="F9" s="93">
        <v>148.82</v>
      </c>
    </row>
    <row r="10" ht="18" customHeight="1" outlineLevel="2" spans="1:6">
      <c r="A10" s="195" t="s">
        <v>46</v>
      </c>
      <c r="B10" s="210" t="s">
        <v>291</v>
      </c>
      <c r="C10" s="205" t="s">
        <v>41</v>
      </c>
      <c r="D10" s="209">
        <v>5</v>
      </c>
      <c r="E10" s="79">
        <v>98083.97</v>
      </c>
      <c r="F10" s="93">
        <v>49.04</v>
      </c>
    </row>
    <row r="11" ht="18" customHeight="1" outlineLevel="2" spans="1:6">
      <c r="A11" s="195" t="s">
        <v>49</v>
      </c>
      <c r="B11" s="210" t="s">
        <v>50</v>
      </c>
      <c r="C11" s="205" t="s">
        <v>51</v>
      </c>
      <c r="D11" s="206">
        <v>100</v>
      </c>
      <c r="E11" s="79">
        <v>2478.25</v>
      </c>
      <c r="F11" s="93">
        <v>24.78</v>
      </c>
    </row>
    <row r="12" ht="18" customHeight="1" outlineLevel="2" spans="1:6">
      <c r="A12" s="195">
        <v>2</v>
      </c>
      <c r="B12" s="204" t="s">
        <v>333</v>
      </c>
      <c r="C12" s="205" t="s">
        <v>41</v>
      </c>
      <c r="D12" s="209">
        <v>1</v>
      </c>
      <c r="E12" s="79"/>
      <c r="F12" s="93">
        <v>9.81</v>
      </c>
    </row>
    <row r="13" ht="18" customHeight="1" outlineLevel="2" spans="1:6">
      <c r="A13" s="195"/>
      <c r="B13" s="210" t="s">
        <v>291</v>
      </c>
      <c r="C13" s="205" t="s">
        <v>41</v>
      </c>
      <c r="D13" s="209">
        <v>1</v>
      </c>
      <c r="E13" s="79">
        <v>98083.97</v>
      </c>
      <c r="F13" s="93">
        <v>9.81</v>
      </c>
    </row>
    <row r="14" ht="18" customHeight="1" outlineLevel="2" spans="1:6">
      <c r="A14" s="195" t="s">
        <v>78</v>
      </c>
      <c r="B14" s="204" t="s">
        <v>334</v>
      </c>
      <c r="C14" s="211"/>
      <c r="D14" s="206"/>
      <c r="E14" s="83"/>
      <c r="F14" s="93">
        <v>1036.86</v>
      </c>
    </row>
    <row r="15" ht="18" customHeight="1" outlineLevel="2" spans="1:6">
      <c r="A15" s="195" t="s">
        <v>43</v>
      </c>
      <c r="B15" s="210" t="s">
        <v>299</v>
      </c>
      <c r="C15" s="205" t="s">
        <v>51</v>
      </c>
      <c r="D15" s="206">
        <v>4657</v>
      </c>
      <c r="E15" s="79">
        <v>630.79</v>
      </c>
      <c r="F15" s="93">
        <v>293.76</v>
      </c>
    </row>
    <row r="16" ht="18" customHeight="1" outlineLevel="2" spans="1:6">
      <c r="A16" s="195" t="s">
        <v>46</v>
      </c>
      <c r="B16" s="212" t="s">
        <v>300</v>
      </c>
      <c r="C16" s="205" t="s">
        <v>51</v>
      </c>
      <c r="D16" s="206">
        <v>4540</v>
      </c>
      <c r="E16" s="79">
        <v>400.75</v>
      </c>
      <c r="F16" s="93">
        <v>181.94</v>
      </c>
    </row>
    <row r="17" ht="18" customHeight="1" outlineLevel="2" spans="1:6">
      <c r="A17" s="195" t="s">
        <v>49</v>
      </c>
      <c r="B17" s="212" t="s">
        <v>301</v>
      </c>
      <c r="C17" s="205" t="s">
        <v>51</v>
      </c>
      <c r="D17" s="206">
        <v>4810</v>
      </c>
      <c r="E17" s="79">
        <v>234.31</v>
      </c>
      <c r="F17" s="93">
        <v>112.7</v>
      </c>
    </row>
    <row r="18" ht="18" customHeight="1" outlineLevel="2" spans="1:6">
      <c r="A18" s="195" t="s">
        <v>62</v>
      </c>
      <c r="B18" s="212" t="s">
        <v>302</v>
      </c>
      <c r="C18" s="205" t="s">
        <v>51</v>
      </c>
      <c r="D18" s="206">
        <v>5022</v>
      </c>
      <c r="E18" s="79">
        <v>159.05</v>
      </c>
      <c r="F18" s="93">
        <v>79.87</v>
      </c>
    </row>
    <row r="19" ht="18" customHeight="1" outlineLevel="2" spans="1:7">
      <c r="A19" s="195" t="s">
        <v>65</v>
      </c>
      <c r="B19" s="212" t="s">
        <v>303</v>
      </c>
      <c r="C19" s="205" t="s">
        <v>51</v>
      </c>
      <c r="D19" s="206">
        <v>986</v>
      </c>
      <c r="E19" s="79">
        <v>75.22</v>
      </c>
      <c r="F19" s="93">
        <v>7.42</v>
      </c>
      <c r="G19" s="62"/>
    </row>
    <row r="20" ht="18" customHeight="1" outlineLevel="2" spans="1:6">
      <c r="A20" s="195" t="s">
        <v>68</v>
      </c>
      <c r="B20" s="212" t="s">
        <v>335</v>
      </c>
      <c r="C20" s="205" t="s">
        <v>95</v>
      </c>
      <c r="D20" s="206">
        <v>1</v>
      </c>
      <c r="E20" s="79">
        <v>586150</v>
      </c>
      <c r="F20" s="93">
        <v>58.62</v>
      </c>
    </row>
    <row r="21" ht="18" customHeight="1" outlineLevel="2" spans="1:6">
      <c r="A21" s="195" t="s">
        <v>136</v>
      </c>
      <c r="B21" s="212" t="s">
        <v>336</v>
      </c>
      <c r="C21" s="205" t="s">
        <v>51</v>
      </c>
      <c r="D21" s="206">
        <v>22</v>
      </c>
      <c r="E21" s="79">
        <v>1162.34</v>
      </c>
      <c r="F21" s="93">
        <v>2.56</v>
      </c>
    </row>
    <row r="22" ht="18" customHeight="1" outlineLevel="2" spans="1:6">
      <c r="A22" s="195" t="s">
        <v>138</v>
      </c>
      <c r="B22" s="212" t="s">
        <v>337</v>
      </c>
      <c r="C22" s="205" t="s">
        <v>51</v>
      </c>
      <c r="D22" s="206">
        <v>49</v>
      </c>
      <c r="E22" s="79">
        <v>1238.55</v>
      </c>
      <c r="F22" s="93">
        <v>6.07</v>
      </c>
    </row>
    <row r="23" ht="18" customHeight="1" outlineLevel="2" spans="1:6">
      <c r="A23" s="195" t="s">
        <v>140</v>
      </c>
      <c r="B23" s="212" t="s">
        <v>338</v>
      </c>
      <c r="C23" s="205" t="s">
        <v>51</v>
      </c>
      <c r="D23" s="206">
        <v>18</v>
      </c>
      <c r="E23" s="79">
        <v>1463.68</v>
      </c>
      <c r="F23" s="93">
        <v>2.63</v>
      </c>
    </row>
    <row r="24" ht="18" customHeight="1" outlineLevel="2" spans="1:6">
      <c r="A24" s="195" t="s">
        <v>143</v>
      </c>
      <c r="B24" s="212" t="s">
        <v>339</v>
      </c>
      <c r="C24" s="205" t="s">
        <v>51</v>
      </c>
      <c r="D24" s="206">
        <v>19</v>
      </c>
      <c r="E24" s="79">
        <v>2084.44</v>
      </c>
      <c r="F24" s="93">
        <v>3.96</v>
      </c>
    </row>
    <row r="25" ht="18" customHeight="1" outlineLevel="2" spans="1:7">
      <c r="A25" s="195" t="s">
        <v>145</v>
      </c>
      <c r="B25" s="212" t="s">
        <v>340</v>
      </c>
      <c r="C25" s="205" t="s">
        <v>51</v>
      </c>
      <c r="D25" s="206">
        <v>104</v>
      </c>
      <c r="E25" s="79">
        <v>2500</v>
      </c>
      <c r="F25" s="93">
        <v>26</v>
      </c>
      <c r="G25" s="81"/>
    </row>
    <row r="26" ht="18" customHeight="1" outlineLevel="2" spans="1:6">
      <c r="A26" s="195" t="s">
        <v>148</v>
      </c>
      <c r="B26" s="212" t="s">
        <v>341</v>
      </c>
      <c r="C26" s="205" t="s">
        <v>51</v>
      </c>
      <c r="D26" s="206">
        <v>234</v>
      </c>
      <c r="E26" s="79">
        <v>2500</v>
      </c>
      <c r="F26" s="93">
        <v>58.5</v>
      </c>
    </row>
    <row r="27" ht="18" customHeight="1" outlineLevel="2" spans="1:6">
      <c r="A27" s="195" t="s">
        <v>151</v>
      </c>
      <c r="B27" s="212" t="s">
        <v>342</v>
      </c>
      <c r="C27" s="205" t="s">
        <v>41</v>
      </c>
      <c r="D27" s="209">
        <v>16</v>
      </c>
      <c r="E27" s="79">
        <v>3479.54</v>
      </c>
      <c r="F27" s="93">
        <v>5.57</v>
      </c>
    </row>
    <row r="28" ht="18" customHeight="1" outlineLevel="2" spans="1:6">
      <c r="A28" s="195" t="s">
        <v>153</v>
      </c>
      <c r="B28" s="212" t="s">
        <v>343</v>
      </c>
      <c r="C28" s="205" t="s">
        <v>51</v>
      </c>
      <c r="D28" s="206">
        <v>143</v>
      </c>
      <c r="E28" s="79">
        <v>2084.44</v>
      </c>
      <c r="F28" s="93">
        <v>29.81</v>
      </c>
    </row>
    <row r="29" ht="18" customHeight="1" outlineLevel="2" spans="1:6">
      <c r="A29" s="195" t="s">
        <v>155</v>
      </c>
      <c r="B29" s="212" t="s">
        <v>344</v>
      </c>
      <c r="C29" s="205" t="s">
        <v>41</v>
      </c>
      <c r="D29" s="209">
        <v>10</v>
      </c>
      <c r="E29" s="79">
        <v>2284.34</v>
      </c>
      <c r="F29" s="93">
        <v>2.28</v>
      </c>
    </row>
    <row r="30" ht="18" customHeight="1" outlineLevel="2" spans="1:6">
      <c r="A30" s="195" t="s">
        <v>157</v>
      </c>
      <c r="B30" s="212" t="s">
        <v>345</v>
      </c>
      <c r="C30" s="205" t="s">
        <v>51</v>
      </c>
      <c r="D30" s="206">
        <v>46</v>
      </c>
      <c r="E30" s="79">
        <v>1463.68</v>
      </c>
      <c r="F30" s="93">
        <v>6.73</v>
      </c>
    </row>
    <row r="31" ht="18" customHeight="1" outlineLevel="2" spans="1:6">
      <c r="A31" s="195" t="s">
        <v>160</v>
      </c>
      <c r="B31" s="212" t="s">
        <v>346</v>
      </c>
      <c r="C31" s="205" t="s">
        <v>41</v>
      </c>
      <c r="D31" s="209">
        <v>4</v>
      </c>
      <c r="E31" s="79">
        <v>2284.34</v>
      </c>
      <c r="F31" s="93">
        <v>0.91</v>
      </c>
    </row>
    <row r="32" ht="18" customHeight="1" outlineLevel="2" spans="1:6">
      <c r="A32" s="195" t="s">
        <v>347</v>
      </c>
      <c r="B32" s="212" t="s">
        <v>348</v>
      </c>
      <c r="C32" s="205" t="s">
        <v>41</v>
      </c>
      <c r="D32" s="209">
        <v>22</v>
      </c>
      <c r="E32" s="79">
        <v>10528.38</v>
      </c>
      <c r="F32" s="93">
        <v>23.16</v>
      </c>
    </row>
    <row r="33" ht="18" customHeight="1" outlineLevel="2" spans="1:6">
      <c r="A33" s="195" t="s">
        <v>349</v>
      </c>
      <c r="B33" s="212" t="s">
        <v>350</v>
      </c>
      <c r="C33" s="205" t="s">
        <v>41</v>
      </c>
      <c r="D33" s="209">
        <v>16</v>
      </c>
      <c r="E33" s="79">
        <v>9835.79</v>
      </c>
      <c r="F33" s="93">
        <v>15.74</v>
      </c>
    </row>
    <row r="34" ht="18" customHeight="1" outlineLevel="2" spans="1:6">
      <c r="A34" s="195" t="s">
        <v>351</v>
      </c>
      <c r="B34" s="212" t="s">
        <v>352</v>
      </c>
      <c r="C34" s="205" t="s">
        <v>41</v>
      </c>
      <c r="D34" s="209">
        <v>37</v>
      </c>
      <c r="E34" s="79">
        <v>7129.12</v>
      </c>
      <c r="F34" s="93">
        <v>26.38</v>
      </c>
    </row>
    <row r="35" ht="18" customHeight="1" outlineLevel="2" spans="1:6">
      <c r="A35" s="195" t="s">
        <v>353</v>
      </c>
      <c r="B35" s="212" t="s">
        <v>354</v>
      </c>
      <c r="C35" s="205" t="s">
        <v>41</v>
      </c>
      <c r="D35" s="209">
        <v>31</v>
      </c>
      <c r="E35" s="79">
        <v>6636.48</v>
      </c>
      <c r="F35" s="93">
        <v>20.57</v>
      </c>
    </row>
    <row r="36" ht="18" customHeight="1" outlineLevel="2" spans="1:6">
      <c r="A36" s="195" t="s">
        <v>355</v>
      </c>
      <c r="B36" s="212" t="s">
        <v>146</v>
      </c>
      <c r="C36" s="205" t="s">
        <v>60</v>
      </c>
      <c r="D36" s="209">
        <v>578</v>
      </c>
      <c r="E36" s="79">
        <v>1240.19</v>
      </c>
      <c r="F36" s="93">
        <v>71.68</v>
      </c>
    </row>
    <row r="37" ht="18" customHeight="1" outlineLevel="2" spans="1:6">
      <c r="A37" s="195">
        <v>4</v>
      </c>
      <c r="B37" s="204" t="s">
        <v>162</v>
      </c>
      <c r="C37" s="211"/>
      <c r="D37" s="208"/>
      <c r="E37" s="83"/>
      <c r="F37" s="213">
        <v>685.73</v>
      </c>
    </row>
    <row r="38" ht="18" customHeight="1" outlineLevel="2" spans="1:6">
      <c r="A38" s="195" t="s">
        <v>43</v>
      </c>
      <c r="B38" s="212" t="s">
        <v>164</v>
      </c>
      <c r="C38" s="205" t="s">
        <v>356</v>
      </c>
      <c r="D38" s="209">
        <v>1025</v>
      </c>
      <c r="E38" s="79">
        <v>230.97</v>
      </c>
      <c r="F38" s="93">
        <v>23.67</v>
      </c>
    </row>
    <row r="39" ht="18" customHeight="1" outlineLevel="2" spans="1:6">
      <c r="A39" s="195" t="s">
        <v>46</v>
      </c>
      <c r="B39" s="212" t="s">
        <v>357</v>
      </c>
      <c r="C39" s="205" t="s">
        <v>51</v>
      </c>
      <c r="D39" s="206">
        <v>9760</v>
      </c>
      <c r="E39" s="79">
        <v>300</v>
      </c>
      <c r="F39" s="93">
        <v>292.8</v>
      </c>
    </row>
    <row r="40" ht="18" customHeight="1" outlineLevel="2" spans="1:6">
      <c r="A40" s="195" t="s">
        <v>49</v>
      </c>
      <c r="B40" s="212" t="s">
        <v>358</v>
      </c>
      <c r="C40" s="205" t="s">
        <v>51</v>
      </c>
      <c r="D40" s="206">
        <v>8096</v>
      </c>
      <c r="E40" s="79">
        <v>335.97</v>
      </c>
      <c r="F40" s="93">
        <v>272</v>
      </c>
    </row>
    <row r="41" ht="18" customHeight="1" outlineLevel="2" spans="1:7">
      <c r="A41" s="195" t="s">
        <v>62</v>
      </c>
      <c r="B41" s="212" t="s">
        <v>359</v>
      </c>
      <c r="C41" s="205" t="s">
        <v>60</v>
      </c>
      <c r="D41" s="209">
        <v>162</v>
      </c>
      <c r="E41" s="79">
        <v>60</v>
      </c>
      <c r="F41" s="93">
        <v>0.97</v>
      </c>
      <c r="G41" s="81"/>
    </row>
    <row r="42" ht="18" customHeight="1" outlineLevel="2" spans="1:7">
      <c r="A42" s="195" t="s">
        <v>65</v>
      </c>
      <c r="B42" s="212" t="s">
        <v>360</v>
      </c>
      <c r="C42" s="205" t="s">
        <v>41</v>
      </c>
      <c r="D42" s="209">
        <v>32</v>
      </c>
      <c r="E42" s="79">
        <v>9526.86</v>
      </c>
      <c r="F42" s="93">
        <v>30.49</v>
      </c>
      <c r="G42" s="81"/>
    </row>
    <row r="43" ht="18" customHeight="1" outlineLevel="2" spans="1:6">
      <c r="A43" s="195" t="s">
        <v>68</v>
      </c>
      <c r="B43" s="212" t="s">
        <v>361</v>
      </c>
      <c r="C43" s="205" t="s">
        <v>41</v>
      </c>
      <c r="D43" s="209">
        <v>78</v>
      </c>
      <c r="E43" s="79">
        <v>1939.72</v>
      </c>
      <c r="F43" s="93">
        <v>15.13</v>
      </c>
    </row>
    <row r="44" ht="18" customHeight="1" outlineLevel="2" spans="1:6">
      <c r="A44" s="195" t="s">
        <v>136</v>
      </c>
      <c r="B44" s="212" t="s">
        <v>362</v>
      </c>
      <c r="C44" s="205" t="s">
        <v>51</v>
      </c>
      <c r="D44" s="206">
        <v>176</v>
      </c>
      <c r="E44" s="79">
        <v>870.72</v>
      </c>
      <c r="F44" s="93">
        <v>15.32</v>
      </c>
    </row>
    <row r="45" ht="18" customHeight="1" outlineLevel="2" spans="1:6">
      <c r="A45" s="195" t="s">
        <v>138</v>
      </c>
      <c r="B45" s="212" t="s">
        <v>363</v>
      </c>
      <c r="C45" s="205" t="s">
        <v>51</v>
      </c>
      <c r="D45" s="206">
        <v>622</v>
      </c>
      <c r="E45" s="79">
        <v>568.38</v>
      </c>
      <c r="F45" s="93">
        <v>35.35</v>
      </c>
    </row>
    <row r="46" ht="18" customHeight="1" outlineLevel="1" spans="1:6">
      <c r="A46" s="200" t="s">
        <v>71</v>
      </c>
      <c r="B46" s="201" t="s">
        <v>72</v>
      </c>
      <c r="C46" s="214"/>
      <c r="D46" s="215"/>
      <c r="E46" s="86"/>
      <c r="F46" s="75">
        <v>178.65</v>
      </c>
    </row>
    <row r="47" ht="18" customHeight="1" outlineLevel="2" spans="1:6">
      <c r="A47" s="195">
        <v>1</v>
      </c>
      <c r="B47" s="204" t="s">
        <v>364</v>
      </c>
      <c r="C47" s="205" t="s">
        <v>320</v>
      </c>
      <c r="D47" s="206">
        <v>442</v>
      </c>
      <c r="E47" s="79">
        <v>85.81</v>
      </c>
      <c r="F47" s="93">
        <v>3.79</v>
      </c>
    </row>
    <row r="48" ht="18" customHeight="1" outlineLevel="2" spans="1:6">
      <c r="A48" s="195">
        <v>2</v>
      </c>
      <c r="B48" s="204" t="s">
        <v>365</v>
      </c>
      <c r="C48" s="205" t="s">
        <v>320</v>
      </c>
      <c r="D48" s="206">
        <v>1381</v>
      </c>
      <c r="E48" s="79">
        <v>85.81</v>
      </c>
      <c r="F48" s="93">
        <v>11.85</v>
      </c>
    </row>
    <row r="49" ht="18" customHeight="1" outlineLevel="2" spans="1:6">
      <c r="A49" s="195">
        <v>3</v>
      </c>
      <c r="B49" s="204" t="s">
        <v>366</v>
      </c>
      <c r="C49" s="205" t="s">
        <v>320</v>
      </c>
      <c r="D49" s="206">
        <v>569</v>
      </c>
      <c r="E49" s="79">
        <v>249.98</v>
      </c>
      <c r="F49" s="93">
        <v>14.22</v>
      </c>
    </row>
    <row r="50" ht="18" customHeight="1" outlineLevel="2" spans="1:6">
      <c r="A50" s="195">
        <v>4</v>
      </c>
      <c r="B50" s="204" t="s">
        <v>367</v>
      </c>
      <c r="C50" s="205" t="s">
        <v>320</v>
      </c>
      <c r="D50" s="206">
        <v>2835</v>
      </c>
      <c r="E50" s="79">
        <v>247.11</v>
      </c>
      <c r="F50" s="93">
        <v>70.06</v>
      </c>
    </row>
    <row r="51" ht="18" customHeight="1" outlineLevel="2" spans="1:6">
      <c r="A51" s="195">
        <v>5</v>
      </c>
      <c r="B51" s="204" t="s">
        <v>368</v>
      </c>
      <c r="C51" s="205" t="s">
        <v>320</v>
      </c>
      <c r="D51" s="206">
        <v>1904</v>
      </c>
      <c r="E51" s="79">
        <v>244.71</v>
      </c>
      <c r="F51" s="93">
        <v>46.59</v>
      </c>
    </row>
    <row r="52" ht="18" customHeight="1" outlineLevel="2" spans="1:6">
      <c r="A52" s="195">
        <v>6</v>
      </c>
      <c r="B52" s="204" t="s">
        <v>369</v>
      </c>
      <c r="C52" s="205" t="s">
        <v>320</v>
      </c>
      <c r="D52" s="206">
        <v>353</v>
      </c>
      <c r="E52" s="79">
        <v>276.88</v>
      </c>
      <c r="F52" s="93">
        <v>9.77</v>
      </c>
    </row>
    <row r="53" ht="18" customHeight="1" outlineLevel="2" spans="1:6">
      <c r="A53" s="195">
        <v>7</v>
      </c>
      <c r="B53" s="204" t="s">
        <v>370</v>
      </c>
      <c r="C53" s="205" t="s">
        <v>320</v>
      </c>
      <c r="D53" s="206">
        <v>832</v>
      </c>
      <c r="E53" s="79">
        <v>268.84</v>
      </c>
      <c r="F53" s="93">
        <v>22.37</v>
      </c>
    </row>
    <row r="54" ht="18" customHeight="1" outlineLevel="1" spans="1:9">
      <c r="A54" s="200" t="s">
        <v>92</v>
      </c>
      <c r="B54" s="201" t="s">
        <v>93</v>
      </c>
      <c r="C54" s="216"/>
      <c r="D54" s="217"/>
      <c r="E54" s="86"/>
      <c r="F54" s="218">
        <v>26.77</v>
      </c>
      <c r="G54" s="65"/>
      <c r="H54" s="65"/>
      <c r="I54" s="65"/>
    </row>
    <row r="55" ht="18" customHeight="1" outlineLevel="2" spans="1:9">
      <c r="A55" s="195">
        <v>1</v>
      </c>
      <c r="B55" s="204" t="s">
        <v>329</v>
      </c>
      <c r="C55" s="205" t="s">
        <v>51</v>
      </c>
      <c r="D55" s="206">
        <v>1131</v>
      </c>
      <c r="E55" s="79">
        <v>120</v>
      </c>
      <c r="F55" s="93">
        <v>13.57</v>
      </c>
      <c r="G55" s="65"/>
      <c r="H55" s="65"/>
      <c r="I55" s="65"/>
    </row>
    <row r="56" ht="18" customHeight="1" outlineLevel="2" spans="1:9">
      <c r="A56" s="195">
        <v>2</v>
      </c>
      <c r="B56" s="204" t="s">
        <v>224</v>
      </c>
      <c r="C56" s="205" t="s">
        <v>225</v>
      </c>
      <c r="D56" s="206">
        <v>22</v>
      </c>
      <c r="E56" s="79">
        <v>6000</v>
      </c>
      <c r="F56" s="93">
        <v>13.2</v>
      </c>
      <c r="G56" s="65"/>
      <c r="H56" s="65"/>
      <c r="I56" s="65"/>
    </row>
    <row r="57" s="63" customFormat="1" ht="18" customHeight="1" spans="1:6">
      <c r="A57" s="200" t="s">
        <v>100</v>
      </c>
      <c r="B57" s="201" t="s">
        <v>101</v>
      </c>
      <c r="C57" s="202"/>
      <c r="D57" s="203"/>
      <c r="E57" s="71"/>
      <c r="F57" s="219">
        <v>181.72</v>
      </c>
    </row>
    <row r="58" ht="18" customHeight="1" spans="1:6">
      <c r="A58" s="195" t="s">
        <v>39</v>
      </c>
      <c r="B58" s="220" t="s">
        <v>371</v>
      </c>
      <c r="C58" s="216"/>
      <c r="D58" s="217"/>
      <c r="E58" s="86"/>
      <c r="F58" s="93">
        <v>10.92</v>
      </c>
    </row>
    <row r="59" ht="18" customHeight="1" spans="1:6">
      <c r="A59" s="195" t="s">
        <v>52</v>
      </c>
      <c r="B59" s="220" t="s">
        <v>372</v>
      </c>
      <c r="C59" s="216"/>
      <c r="D59" s="217"/>
      <c r="E59" s="86"/>
      <c r="F59" s="93">
        <v>3</v>
      </c>
    </row>
    <row r="60" s="63" customFormat="1" ht="18" customHeight="1" spans="1:6">
      <c r="A60" s="195" t="s">
        <v>78</v>
      </c>
      <c r="B60" s="220" t="s">
        <v>107</v>
      </c>
      <c r="C60" s="202"/>
      <c r="D60" s="203"/>
      <c r="E60" s="71"/>
      <c r="F60" s="93">
        <v>15</v>
      </c>
    </row>
    <row r="61" ht="18" customHeight="1" spans="1:6">
      <c r="A61" s="195" t="s">
        <v>80</v>
      </c>
      <c r="B61" s="220" t="s">
        <v>373</v>
      </c>
      <c r="C61" s="216"/>
      <c r="D61" s="217"/>
      <c r="E61" s="86"/>
      <c r="F61" s="147">
        <v>44.78</v>
      </c>
    </row>
    <row r="62" ht="18" customHeight="1" spans="1:6">
      <c r="A62" s="195" t="s">
        <v>83</v>
      </c>
      <c r="B62" s="220" t="s">
        <v>109</v>
      </c>
      <c r="C62" s="211"/>
      <c r="D62" s="217"/>
      <c r="E62" s="86"/>
      <c r="F62" s="147">
        <v>14.86</v>
      </c>
    </row>
    <row r="63" ht="18" customHeight="1" spans="1:6">
      <c r="A63" s="195" t="s">
        <v>85</v>
      </c>
      <c r="B63" s="220" t="s">
        <v>112</v>
      </c>
      <c r="C63" s="211"/>
      <c r="D63" s="217"/>
      <c r="E63" s="86"/>
      <c r="F63" s="147"/>
    </row>
    <row r="64" ht="18" customHeight="1" spans="1:6">
      <c r="A64" s="195" t="s">
        <v>43</v>
      </c>
      <c r="B64" s="221" t="s">
        <v>113</v>
      </c>
      <c r="C64" s="211"/>
      <c r="D64" s="217"/>
      <c r="E64" s="86"/>
      <c r="F64" s="93">
        <v>20.92</v>
      </c>
    </row>
    <row r="65" ht="18" customHeight="1" spans="1:6">
      <c r="A65" s="195" t="s">
        <v>46</v>
      </c>
      <c r="B65" s="221" t="s">
        <v>115</v>
      </c>
      <c r="C65" s="211"/>
      <c r="D65" s="217"/>
      <c r="E65" s="86"/>
      <c r="F65" s="93">
        <v>69.58</v>
      </c>
    </row>
    <row r="66" ht="18" customHeight="1" spans="1:6">
      <c r="A66" s="195" t="s">
        <v>89</v>
      </c>
      <c r="B66" s="220" t="s">
        <v>117</v>
      </c>
      <c r="C66" s="216"/>
      <c r="D66" s="217"/>
      <c r="E66" s="86"/>
      <c r="F66" s="93">
        <v>2.66</v>
      </c>
    </row>
    <row r="67" s="63" customFormat="1" ht="18" customHeight="1" spans="1:6">
      <c r="A67" s="200" t="s">
        <v>119</v>
      </c>
      <c r="B67" s="201" t="s">
        <v>120</v>
      </c>
      <c r="C67" s="222" t="s">
        <v>36</v>
      </c>
      <c r="D67" s="223">
        <v>1820.64</v>
      </c>
      <c r="E67" s="219">
        <v>12998.62</v>
      </c>
      <c r="F67" s="219">
        <v>2366.58</v>
      </c>
    </row>
    <row r="68" s="63" customFormat="1" ht="18" customHeight="1" spans="1:6">
      <c r="A68" s="224"/>
      <c r="B68" s="225"/>
      <c r="C68" s="226"/>
      <c r="D68" s="226"/>
      <c r="E68" s="226"/>
      <c r="F68" s="226"/>
    </row>
    <row r="69" customHeight="1" spans="2:12">
      <c r="B69" s="227"/>
      <c r="F69" s="228"/>
      <c r="L69" s="65"/>
    </row>
    <row r="70" customHeight="1" spans="5:12">
      <c r="E70" s="229"/>
      <c r="F70" s="228"/>
      <c r="L70" s="65"/>
    </row>
    <row r="71" customHeight="1" spans="12:12">
      <c r="L71" s="65"/>
    </row>
  </sheetData>
  <mergeCells count="2">
    <mergeCell ref="A1:B1"/>
    <mergeCell ref="A2:F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workbookViewId="0">
      <selection activeCell="K39" sqref="K39"/>
    </sheetView>
  </sheetViews>
  <sheetFormatPr defaultColWidth="9" defaultRowHeight="13.5" outlineLevelCol="5"/>
  <cols>
    <col min="1" max="1" width="7" customWidth="1"/>
    <col min="2" max="2" width="32.625" customWidth="1"/>
    <col min="3" max="3" width="8.625" customWidth="1"/>
    <col min="4" max="6" width="12.625" customWidth="1"/>
  </cols>
  <sheetData>
    <row r="1" ht="18.75" spans="1:2">
      <c r="A1" s="189" t="s">
        <v>374</v>
      </c>
      <c r="B1" s="189"/>
    </row>
    <row r="2" ht="18.75" spans="1:6">
      <c r="A2" s="190" t="s">
        <v>375</v>
      </c>
      <c r="B2" s="190"/>
      <c r="C2" s="190"/>
      <c r="D2" s="190"/>
      <c r="E2" s="190"/>
      <c r="F2" s="190"/>
    </row>
    <row r="3" ht="24" spans="1:6">
      <c r="A3" s="69" t="s">
        <v>1</v>
      </c>
      <c r="B3" s="70" t="s">
        <v>332</v>
      </c>
      <c r="C3" s="71" t="s">
        <v>28</v>
      </c>
      <c r="D3" s="71" t="s">
        <v>29</v>
      </c>
      <c r="E3" s="72" t="s">
        <v>30</v>
      </c>
      <c r="F3" s="72" t="s">
        <v>31</v>
      </c>
    </row>
    <row r="4" ht="16.5" customHeight="1" spans="1:6">
      <c r="A4" s="191" t="s">
        <v>32</v>
      </c>
      <c r="B4" s="191" t="s">
        <v>33</v>
      </c>
      <c r="C4" s="191"/>
      <c r="D4" s="191"/>
      <c r="E4" s="191"/>
      <c r="F4" s="191">
        <v>827.81</v>
      </c>
    </row>
    <row r="5" ht="16.5" customHeight="1" spans="1:6">
      <c r="A5" s="191" t="s">
        <v>34</v>
      </c>
      <c r="B5" s="191" t="s">
        <v>35</v>
      </c>
      <c r="C5" s="191"/>
      <c r="D5" s="191"/>
      <c r="E5" s="191"/>
      <c r="F5" s="191">
        <v>6.5</v>
      </c>
    </row>
    <row r="6" ht="16.5" customHeight="1" spans="1:6">
      <c r="A6" s="192">
        <v>1</v>
      </c>
      <c r="B6" s="193" t="s">
        <v>122</v>
      </c>
      <c r="C6" s="194" t="s">
        <v>36</v>
      </c>
      <c r="D6" s="192">
        <v>92.85</v>
      </c>
      <c r="E6" s="192">
        <v>200</v>
      </c>
      <c r="F6" s="192">
        <v>1.86</v>
      </c>
    </row>
    <row r="7" ht="16.5" customHeight="1" spans="1:6">
      <c r="A7" s="192">
        <v>2</v>
      </c>
      <c r="B7" s="193" t="s">
        <v>123</v>
      </c>
      <c r="C7" s="194" t="s">
        <v>36</v>
      </c>
      <c r="D7" s="192">
        <v>92.85</v>
      </c>
      <c r="E7" s="192">
        <v>500</v>
      </c>
      <c r="F7" s="192">
        <v>4.64</v>
      </c>
    </row>
    <row r="8" ht="16.5" customHeight="1" spans="1:6">
      <c r="A8" s="191" t="s">
        <v>37</v>
      </c>
      <c r="B8" s="191" t="s">
        <v>38</v>
      </c>
      <c r="C8" s="192"/>
      <c r="D8" s="192"/>
      <c r="E8" s="192"/>
      <c r="F8" s="191">
        <v>663.95</v>
      </c>
    </row>
    <row r="9" ht="16.5" customHeight="1" spans="1:6">
      <c r="A9" s="192">
        <v>1</v>
      </c>
      <c r="B9" s="193" t="s">
        <v>376</v>
      </c>
      <c r="C9" s="194"/>
      <c r="D9" s="192"/>
      <c r="E9" s="192"/>
      <c r="F9" s="192">
        <v>63.81</v>
      </c>
    </row>
    <row r="10" ht="16.5" customHeight="1" spans="1:6">
      <c r="A10" s="195" t="s">
        <v>43</v>
      </c>
      <c r="B10" s="193" t="s">
        <v>377</v>
      </c>
      <c r="C10" s="194"/>
      <c r="D10" s="192"/>
      <c r="E10" s="192"/>
      <c r="F10" s="192">
        <v>38.17</v>
      </c>
    </row>
    <row r="11" ht="16.5" customHeight="1" spans="1:6">
      <c r="A11" s="192" t="s">
        <v>378</v>
      </c>
      <c r="B11" s="193" t="s">
        <v>44</v>
      </c>
      <c r="C11" s="194" t="s">
        <v>41</v>
      </c>
      <c r="D11" s="192">
        <v>1</v>
      </c>
      <c r="E11" s="192"/>
      <c r="F11" s="192">
        <v>28.66</v>
      </c>
    </row>
    <row r="12" ht="16.5" customHeight="1" spans="1:6">
      <c r="A12" s="192"/>
      <c r="B12" s="193" t="s">
        <v>379</v>
      </c>
      <c r="C12" s="194" t="s">
        <v>41</v>
      </c>
      <c r="D12" s="192">
        <v>1</v>
      </c>
      <c r="E12" s="192">
        <v>202653.75</v>
      </c>
      <c r="F12" s="192">
        <v>20.27</v>
      </c>
    </row>
    <row r="13" ht="16.5" customHeight="1" spans="1:6">
      <c r="A13" s="192"/>
      <c r="B13" s="193" t="s">
        <v>380</v>
      </c>
      <c r="C13" s="194" t="s">
        <v>74</v>
      </c>
      <c r="D13" s="192">
        <v>27.08</v>
      </c>
      <c r="E13" s="192">
        <v>3100</v>
      </c>
      <c r="F13" s="192">
        <v>8.39</v>
      </c>
    </row>
    <row r="14" ht="16.5" customHeight="1" spans="1:6">
      <c r="A14" s="192" t="s">
        <v>381</v>
      </c>
      <c r="B14" s="193" t="s">
        <v>47</v>
      </c>
      <c r="C14" s="194" t="s">
        <v>41</v>
      </c>
      <c r="D14" s="192">
        <v>1</v>
      </c>
      <c r="E14" s="192">
        <v>69548</v>
      </c>
      <c r="F14" s="192">
        <v>6.95</v>
      </c>
    </row>
    <row r="15" ht="16.5" customHeight="1" spans="1:6">
      <c r="A15" s="192" t="s">
        <v>382</v>
      </c>
      <c r="B15" s="193" t="s">
        <v>50</v>
      </c>
      <c r="C15" s="194" t="s">
        <v>51</v>
      </c>
      <c r="D15" s="192">
        <v>10</v>
      </c>
      <c r="E15" s="192">
        <v>2500</v>
      </c>
      <c r="F15" s="192">
        <v>2.5</v>
      </c>
    </row>
    <row r="16" ht="16.5" customHeight="1" spans="1:6">
      <c r="A16" s="195" t="s">
        <v>46</v>
      </c>
      <c r="B16" s="193" t="s">
        <v>383</v>
      </c>
      <c r="C16" s="194"/>
      <c r="D16" s="192"/>
      <c r="E16" s="192"/>
      <c r="F16" s="192">
        <v>20.11</v>
      </c>
    </row>
    <row r="17" ht="16.5" customHeight="1" spans="1:6">
      <c r="A17" s="192" t="s">
        <v>378</v>
      </c>
      <c r="B17" s="193" t="s">
        <v>44</v>
      </c>
      <c r="C17" s="194" t="s">
        <v>41</v>
      </c>
      <c r="D17" s="192">
        <v>1</v>
      </c>
      <c r="E17" s="192"/>
      <c r="F17" s="192">
        <v>16.75</v>
      </c>
    </row>
    <row r="18" ht="16.5" customHeight="1" spans="1:6">
      <c r="A18" s="192"/>
      <c r="B18" s="193" t="s">
        <v>384</v>
      </c>
      <c r="C18" s="194" t="s">
        <v>95</v>
      </c>
      <c r="D18" s="192">
        <v>1</v>
      </c>
      <c r="E18" s="192">
        <v>167526.65</v>
      </c>
      <c r="F18" s="192">
        <v>16.75</v>
      </c>
    </row>
    <row r="19" ht="16.5" customHeight="1" spans="1:6">
      <c r="A19" s="192" t="s">
        <v>381</v>
      </c>
      <c r="B19" s="193" t="s">
        <v>47</v>
      </c>
      <c r="C19" s="194" t="s">
        <v>41</v>
      </c>
      <c r="D19" s="192">
        <v>1</v>
      </c>
      <c r="E19" s="192">
        <v>33582</v>
      </c>
      <c r="F19" s="192">
        <v>3.36</v>
      </c>
    </row>
    <row r="20" ht="16.5" customHeight="1" spans="1:6">
      <c r="A20" s="195" t="s">
        <v>49</v>
      </c>
      <c r="B20" s="193" t="s">
        <v>385</v>
      </c>
      <c r="C20" s="194"/>
      <c r="D20" s="192"/>
      <c r="E20" s="192"/>
      <c r="F20" s="192">
        <v>5.53</v>
      </c>
    </row>
    <row r="21" ht="16.5" customHeight="1" spans="1:6">
      <c r="A21" s="192" t="s">
        <v>378</v>
      </c>
      <c r="B21" s="193" t="s">
        <v>44</v>
      </c>
      <c r="C21" s="194" t="s">
        <v>41</v>
      </c>
      <c r="D21" s="192">
        <v>1</v>
      </c>
      <c r="E21" s="192"/>
      <c r="F21" s="192">
        <v>2.17</v>
      </c>
    </row>
    <row r="22" ht="16.5" customHeight="1" spans="1:6">
      <c r="A22" s="192"/>
      <c r="B22" s="193" t="s">
        <v>386</v>
      </c>
      <c r="C22" s="194" t="s">
        <v>41</v>
      </c>
      <c r="D22" s="192">
        <v>1</v>
      </c>
      <c r="E22" s="192">
        <v>21650.46</v>
      </c>
      <c r="F22" s="192">
        <v>2.17</v>
      </c>
    </row>
    <row r="23" ht="16.5" customHeight="1" spans="1:6">
      <c r="A23" s="192" t="s">
        <v>381</v>
      </c>
      <c r="B23" s="193" t="s">
        <v>47</v>
      </c>
      <c r="C23" s="194" t="s">
        <v>41</v>
      </c>
      <c r="D23" s="192">
        <v>1</v>
      </c>
      <c r="E23" s="192">
        <v>33582</v>
      </c>
      <c r="F23" s="192">
        <v>3.36</v>
      </c>
    </row>
    <row r="24" ht="16.5" customHeight="1" spans="1:6">
      <c r="A24" s="192">
        <v>2</v>
      </c>
      <c r="B24" s="193" t="s">
        <v>334</v>
      </c>
      <c r="C24" s="192"/>
      <c r="D24" s="192"/>
      <c r="E24" s="192"/>
      <c r="F24" s="192">
        <v>486.26</v>
      </c>
    </row>
    <row r="25" ht="16.5" customHeight="1" spans="1:6">
      <c r="A25" s="195" t="s">
        <v>43</v>
      </c>
      <c r="B25" s="193" t="s">
        <v>387</v>
      </c>
      <c r="C25" s="194" t="s">
        <v>51</v>
      </c>
      <c r="D25" s="192">
        <v>1286</v>
      </c>
      <c r="E25" s="192">
        <v>969.44</v>
      </c>
      <c r="F25" s="192">
        <v>124.67</v>
      </c>
    </row>
    <row r="26" ht="16.5" customHeight="1" spans="1:6">
      <c r="A26" s="195" t="s">
        <v>46</v>
      </c>
      <c r="B26" s="193" t="s">
        <v>388</v>
      </c>
      <c r="C26" s="194" t="s">
        <v>51</v>
      </c>
      <c r="D26" s="192">
        <v>2621</v>
      </c>
      <c r="E26" s="192">
        <v>646.35</v>
      </c>
      <c r="F26" s="192">
        <v>169.41</v>
      </c>
    </row>
    <row r="27" ht="16.5" customHeight="1" spans="1:6">
      <c r="A27" s="195" t="s">
        <v>49</v>
      </c>
      <c r="B27" s="193" t="s">
        <v>389</v>
      </c>
      <c r="C27" s="194" t="s">
        <v>51</v>
      </c>
      <c r="D27" s="192">
        <v>50</v>
      </c>
      <c r="E27" s="192">
        <v>2000</v>
      </c>
      <c r="F27" s="192">
        <v>10</v>
      </c>
    </row>
    <row r="28" ht="16.5" customHeight="1" spans="1:6">
      <c r="A28" s="195" t="s">
        <v>62</v>
      </c>
      <c r="B28" s="193" t="s">
        <v>390</v>
      </c>
      <c r="C28" s="194" t="s">
        <v>51</v>
      </c>
      <c r="D28" s="192">
        <v>1180</v>
      </c>
      <c r="E28" s="192">
        <v>350</v>
      </c>
      <c r="F28" s="192">
        <v>41.3</v>
      </c>
    </row>
    <row r="29" ht="16.5" customHeight="1" spans="1:6">
      <c r="A29" s="195" t="s">
        <v>65</v>
      </c>
      <c r="B29" s="193" t="s">
        <v>391</v>
      </c>
      <c r="C29" s="194" t="s">
        <v>41</v>
      </c>
      <c r="D29" s="192">
        <v>37</v>
      </c>
      <c r="E29" s="192">
        <v>6070.48</v>
      </c>
      <c r="F29" s="192">
        <v>22.46</v>
      </c>
    </row>
    <row r="30" ht="16.5" customHeight="1" spans="1:6">
      <c r="A30" s="195" t="s">
        <v>68</v>
      </c>
      <c r="B30" s="193" t="s">
        <v>392</v>
      </c>
      <c r="C30" s="194" t="s">
        <v>51</v>
      </c>
      <c r="D30" s="192">
        <v>120</v>
      </c>
      <c r="E30" s="192">
        <v>3094.84</v>
      </c>
      <c r="F30" s="192">
        <v>37.14</v>
      </c>
    </row>
    <row r="31" ht="16.5" customHeight="1" spans="1:6">
      <c r="A31" s="195" t="s">
        <v>136</v>
      </c>
      <c r="B31" s="193" t="s">
        <v>393</v>
      </c>
      <c r="C31" s="194" t="s">
        <v>51</v>
      </c>
      <c r="D31" s="192">
        <v>80</v>
      </c>
      <c r="E31" s="192">
        <v>2300</v>
      </c>
      <c r="F31" s="192">
        <v>18.4</v>
      </c>
    </row>
    <row r="32" ht="16.5" customHeight="1" spans="1:6">
      <c r="A32" s="195" t="s">
        <v>138</v>
      </c>
      <c r="B32" s="193" t="s">
        <v>394</v>
      </c>
      <c r="C32" s="194" t="s">
        <v>41</v>
      </c>
      <c r="D32" s="192">
        <v>10</v>
      </c>
      <c r="E32" s="192">
        <v>7147.53</v>
      </c>
      <c r="F32" s="192">
        <v>7.15</v>
      </c>
    </row>
    <row r="33" ht="16.5" customHeight="1" spans="1:6">
      <c r="A33" s="195" t="s">
        <v>140</v>
      </c>
      <c r="B33" s="193" t="s">
        <v>395</v>
      </c>
      <c r="C33" s="194" t="s">
        <v>51</v>
      </c>
      <c r="D33" s="192">
        <v>50.4</v>
      </c>
      <c r="E33" s="192">
        <v>2584.95</v>
      </c>
      <c r="F33" s="192">
        <v>13.03</v>
      </c>
    </row>
    <row r="34" ht="16.5" customHeight="1" spans="1:6">
      <c r="A34" s="195" t="s">
        <v>143</v>
      </c>
      <c r="B34" s="193" t="s">
        <v>396</v>
      </c>
      <c r="C34" s="194" t="s">
        <v>51</v>
      </c>
      <c r="D34" s="192">
        <v>112</v>
      </c>
      <c r="E34" s="192">
        <v>1978.44</v>
      </c>
      <c r="F34" s="192">
        <v>22.16</v>
      </c>
    </row>
    <row r="35" ht="16.5" customHeight="1" spans="1:6">
      <c r="A35" s="195" t="s">
        <v>145</v>
      </c>
      <c r="B35" s="193" t="s">
        <v>397</v>
      </c>
      <c r="C35" s="194" t="s">
        <v>51</v>
      </c>
      <c r="D35" s="192">
        <v>11.2</v>
      </c>
      <c r="E35" s="192">
        <v>1573.04</v>
      </c>
      <c r="F35" s="192">
        <v>1.76</v>
      </c>
    </row>
    <row r="36" ht="16.5" customHeight="1" spans="1:6">
      <c r="A36" s="195" t="s">
        <v>148</v>
      </c>
      <c r="B36" s="193" t="s">
        <v>398</v>
      </c>
      <c r="C36" s="194" t="s">
        <v>41</v>
      </c>
      <c r="D36" s="192">
        <v>48</v>
      </c>
      <c r="E36" s="192">
        <v>3363.08</v>
      </c>
      <c r="F36" s="192">
        <v>16.14</v>
      </c>
    </row>
    <row r="37" ht="16.5" customHeight="1" spans="1:6">
      <c r="A37" s="195" t="s">
        <v>151</v>
      </c>
      <c r="B37" s="193" t="s">
        <v>399</v>
      </c>
      <c r="C37" s="194" t="s">
        <v>41</v>
      </c>
      <c r="D37" s="192">
        <v>6</v>
      </c>
      <c r="E37" s="192">
        <v>1788.7</v>
      </c>
      <c r="F37" s="192">
        <v>1.07</v>
      </c>
    </row>
    <row r="38" ht="16.5" customHeight="1" spans="1:6">
      <c r="A38" s="195" t="s">
        <v>153</v>
      </c>
      <c r="B38" s="193" t="s">
        <v>400</v>
      </c>
      <c r="C38" s="194" t="s">
        <v>41</v>
      </c>
      <c r="D38" s="192">
        <v>24</v>
      </c>
      <c r="E38" s="192">
        <v>653.92</v>
      </c>
      <c r="F38" s="192">
        <v>1.57</v>
      </c>
    </row>
    <row r="39" ht="16.5" customHeight="1" spans="1:6">
      <c r="A39" s="192">
        <v>3</v>
      </c>
      <c r="B39" s="193" t="s">
        <v>162</v>
      </c>
      <c r="C39" s="192"/>
      <c r="D39" s="192"/>
      <c r="E39" s="192"/>
      <c r="F39" s="192">
        <v>113.88</v>
      </c>
    </row>
    <row r="40" ht="16.5" customHeight="1" spans="1:6">
      <c r="A40" s="195" t="s">
        <v>43</v>
      </c>
      <c r="B40" s="193" t="s">
        <v>401</v>
      </c>
      <c r="C40" s="194" t="s">
        <v>51</v>
      </c>
      <c r="D40" s="192">
        <v>1759</v>
      </c>
      <c r="E40" s="192">
        <v>294.92</v>
      </c>
      <c r="F40" s="192">
        <v>51.88</v>
      </c>
    </row>
    <row r="41" ht="16.5" customHeight="1" spans="1:6">
      <c r="A41" s="195" t="s">
        <v>46</v>
      </c>
      <c r="B41" s="193" t="s">
        <v>402</v>
      </c>
      <c r="C41" s="194" t="s">
        <v>51</v>
      </c>
      <c r="D41" s="192">
        <v>1477</v>
      </c>
      <c r="E41" s="192">
        <v>294.92</v>
      </c>
      <c r="F41" s="192">
        <v>43.56</v>
      </c>
    </row>
    <row r="42" ht="16.5" customHeight="1" spans="1:6">
      <c r="A42" s="195" t="s">
        <v>49</v>
      </c>
      <c r="B42" s="193" t="s">
        <v>403</v>
      </c>
      <c r="C42" s="194" t="s">
        <v>60</v>
      </c>
      <c r="D42" s="192">
        <v>180</v>
      </c>
      <c r="E42" s="192">
        <v>199.3</v>
      </c>
      <c r="F42" s="192">
        <v>3.59</v>
      </c>
    </row>
    <row r="43" ht="16.5" customHeight="1" spans="1:6">
      <c r="A43" s="195" t="s">
        <v>62</v>
      </c>
      <c r="B43" s="193" t="s">
        <v>404</v>
      </c>
      <c r="C43" s="194" t="s">
        <v>51</v>
      </c>
      <c r="D43" s="192">
        <v>27.9</v>
      </c>
      <c r="E43" s="192">
        <v>938.8</v>
      </c>
      <c r="F43" s="192">
        <v>2.62</v>
      </c>
    </row>
    <row r="44" ht="16.5" customHeight="1" spans="1:6">
      <c r="A44" s="195" t="s">
        <v>65</v>
      </c>
      <c r="B44" s="193" t="s">
        <v>405</v>
      </c>
      <c r="C44" s="194" t="s">
        <v>51</v>
      </c>
      <c r="D44" s="192">
        <v>27.9</v>
      </c>
      <c r="E44" s="192">
        <v>832.25</v>
      </c>
      <c r="F44" s="192">
        <v>2.32</v>
      </c>
    </row>
    <row r="45" ht="16.5" customHeight="1" spans="1:6">
      <c r="A45" s="195" t="s">
        <v>68</v>
      </c>
      <c r="B45" s="193" t="s">
        <v>406</v>
      </c>
      <c r="C45" s="194" t="s">
        <v>41</v>
      </c>
      <c r="D45" s="192">
        <v>6</v>
      </c>
      <c r="E45" s="192">
        <v>5006.64</v>
      </c>
      <c r="F45" s="192">
        <v>3</v>
      </c>
    </row>
    <row r="46" ht="16.5" customHeight="1" spans="1:6">
      <c r="A46" s="195" t="s">
        <v>136</v>
      </c>
      <c r="B46" s="193" t="s">
        <v>407</v>
      </c>
      <c r="C46" s="194" t="s">
        <v>51</v>
      </c>
      <c r="D46" s="192">
        <v>46</v>
      </c>
      <c r="E46" s="192">
        <v>705.76</v>
      </c>
      <c r="F46" s="192">
        <v>3.25</v>
      </c>
    </row>
    <row r="47" ht="16.5" customHeight="1" spans="1:6">
      <c r="A47" s="195" t="s">
        <v>138</v>
      </c>
      <c r="B47" s="193" t="s">
        <v>408</v>
      </c>
      <c r="C47" s="194" t="s">
        <v>60</v>
      </c>
      <c r="D47" s="192">
        <v>13</v>
      </c>
      <c r="E47" s="192">
        <v>2818.86</v>
      </c>
      <c r="F47" s="192">
        <v>3.66</v>
      </c>
    </row>
    <row r="48" ht="16.5" customHeight="1" spans="1:6">
      <c r="A48" s="191" t="s">
        <v>71</v>
      </c>
      <c r="B48" s="191" t="s">
        <v>72</v>
      </c>
      <c r="C48" s="191"/>
      <c r="D48" s="191"/>
      <c r="E48" s="192"/>
      <c r="F48" s="191">
        <v>154.36</v>
      </c>
    </row>
    <row r="49" ht="16.5" customHeight="1" spans="1:6">
      <c r="A49" s="192">
        <v>1</v>
      </c>
      <c r="B49" s="193" t="s">
        <v>409</v>
      </c>
      <c r="C49" s="194" t="s">
        <v>320</v>
      </c>
      <c r="D49" s="192">
        <v>2703</v>
      </c>
      <c r="E49" s="192">
        <v>220</v>
      </c>
      <c r="F49" s="192">
        <v>59.47</v>
      </c>
    </row>
    <row r="50" ht="16.5" customHeight="1" spans="1:6">
      <c r="A50" s="192">
        <v>2</v>
      </c>
      <c r="B50" s="193" t="s">
        <v>410</v>
      </c>
      <c r="C50" s="194" t="s">
        <v>320</v>
      </c>
      <c r="D50" s="192">
        <v>1551</v>
      </c>
      <c r="E50" s="192">
        <v>218.76</v>
      </c>
      <c r="F50" s="192">
        <v>33.93</v>
      </c>
    </row>
    <row r="51" ht="16.5" customHeight="1" spans="1:6">
      <c r="A51" s="192">
        <v>3</v>
      </c>
      <c r="B51" s="193" t="s">
        <v>411</v>
      </c>
      <c r="C51" s="194" t="s">
        <v>320</v>
      </c>
      <c r="D51" s="192">
        <v>96</v>
      </c>
      <c r="E51" s="192">
        <v>424.94</v>
      </c>
      <c r="F51" s="192">
        <v>4.08</v>
      </c>
    </row>
    <row r="52" ht="16.5" customHeight="1" spans="1:6">
      <c r="A52" s="192">
        <v>4</v>
      </c>
      <c r="B52" s="193" t="s">
        <v>412</v>
      </c>
      <c r="C52" s="194" t="s">
        <v>320</v>
      </c>
      <c r="D52" s="192">
        <v>372</v>
      </c>
      <c r="E52" s="192">
        <v>417.26</v>
      </c>
      <c r="F52" s="192">
        <v>15.52</v>
      </c>
    </row>
    <row r="53" ht="16.5" customHeight="1" spans="1:6">
      <c r="A53" s="192">
        <v>5</v>
      </c>
      <c r="B53" s="193" t="s">
        <v>413</v>
      </c>
      <c r="C53" s="194" t="s">
        <v>320</v>
      </c>
      <c r="D53" s="192">
        <v>198.75</v>
      </c>
      <c r="E53" s="192">
        <v>386.05</v>
      </c>
      <c r="F53" s="192">
        <v>7.67</v>
      </c>
    </row>
    <row r="54" ht="16.5" customHeight="1" spans="1:6">
      <c r="A54" s="192">
        <v>6</v>
      </c>
      <c r="B54" s="193" t="s">
        <v>414</v>
      </c>
      <c r="C54" s="194" t="s">
        <v>320</v>
      </c>
      <c r="D54" s="192">
        <v>27</v>
      </c>
      <c r="E54" s="192">
        <v>377.62</v>
      </c>
      <c r="F54" s="192">
        <v>1.02</v>
      </c>
    </row>
    <row r="55" ht="16.5" customHeight="1" spans="1:6">
      <c r="A55" s="192">
        <v>7</v>
      </c>
      <c r="B55" s="193" t="s">
        <v>327</v>
      </c>
      <c r="C55" s="194" t="s">
        <v>320</v>
      </c>
      <c r="D55" s="192">
        <v>1088</v>
      </c>
      <c r="E55" s="192">
        <v>300.24</v>
      </c>
      <c r="F55" s="192">
        <v>32.67</v>
      </c>
    </row>
    <row r="56" ht="16.5" customHeight="1" spans="1:6">
      <c r="A56" s="191" t="s">
        <v>92</v>
      </c>
      <c r="B56" s="191" t="s">
        <v>93</v>
      </c>
      <c r="C56" s="192"/>
      <c r="D56" s="192"/>
      <c r="E56" s="192"/>
      <c r="F56" s="191">
        <v>3</v>
      </c>
    </row>
    <row r="57" ht="16.5" customHeight="1" spans="1:6">
      <c r="A57" s="192">
        <v>1</v>
      </c>
      <c r="B57" s="193" t="s">
        <v>415</v>
      </c>
      <c r="C57" s="194" t="s">
        <v>41</v>
      </c>
      <c r="D57" s="192">
        <v>1</v>
      </c>
      <c r="E57" s="192">
        <v>30000</v>
      </c>
      <c r="F57" s="192">
        <v>3</v>
      </c>
    </row>
    <row r="58" ht="16.5" customHeight="1" spans="1:6">
      <c r="A58" s="191" t="s">
        <v>100</v>
      </c>
      <c r="B58" s="191" t="s">
        <v>101</v>
      </c>
      <c r="C58" s="191"/>
      <c r="D58" s="191"/>
      <c r="E58" s="191"/>
      <c r="F58" s="191">
        <v>78.14</v>
      </c>
    </row>
    <row r="59" ht="16.5" customHeight="1" spans="1:6">
      <c r="A59" s="192">
        <v>1</v>
      </c>
      <c r="B59" s="193" t="s">
        <v>371</v>
      </c>
      <c r="C59" s="192"/>
      <c r="D59" s="192"/>
      <c r="E59" s="192"/>
      <c r="F59" s="192">
        <v>13.74</v>
      </c>
    </row>
    <row r="60" ht="16.5" customHeight="1" spans="1:6">
      <c r="A60" s="192">
        <v>2</v>
      </c>
      <c r="B60" s="193" t="s">
        <v>416</v>
      </c>
      <c r="C60" s="192"/>
      <c r="D60" s="192"/>
      <c r="E60" s="192"/>
      <c r="F60" s="192">
        <v>3.15</v>
      </c>
    </row>
    <row r="61" ht="16.5" customHeight="1" spans="1:6">
      <c r="A61" s="192">
        <v>3</v>
      </c>
      <c r="B61" s="193" t="s">
        <v>104</v>
      </c>
      <c r="C61" s="191"/>
      <c r="D61" s="191"/>
      <c r="E61" s="191"/>
      <c r="F61" s="192">
        <v>19.44</v>
      </c>
    </row>
    <row r="62" ht="16.5" customHeight="1" spans="1:6">
      <c r="A62" s="192">
        <v>4</v>
      </c>
      <c r="B62" s="193" t="s">
        <v>107</v>
      </c>
      <c r="C62" s="191"/>
      <c r="D62" s="191"/>
      <c r="E62" s="191"/>
      <c r="F62" s="192">
        <v>6.86</v>
      </c>
    </row>
    <row r="63" ht="16.5" customHeight="1" spans="1:6">
      <c r="A63" s="192">
        <v>5</v>
      </c>
      <c r="B63" s="193" t="s">
        <v>109</v>
      </c>
      <c r="C63" s="192"/>
      <c r="D63" s="192"/>
      <c r="E63" s="192"/>
      <c r="F63" s="192">
        <v>2.57</v>
      </c>
    </row>
    <row r="64" ht="16.5" customHeight="1" spans="1:6">
      <c r="A64" s="192">
        <v>6</v>
      </c>
      <c r="B64" s="193" t="s">
        <v>112</v>
      </c>
      <c r="C64" s="192"/>
      <c r="D64" s="192"/>
      <c r="E64" s="192"/>
      <c r="F64" s="192"/>
    </row>
    <row r="65" ht="16.5" customHeight="1" spans="1:6">
      <c r="A65" s="195" t="s">
        <v>43</v>
      </c>
      <c r="B65" s="193" t="s">
        <v>113</v>
      </c>
      <c r="C65" s="192"/>
      <c r="D65" s="192"/>
      <c r="E65" s="192"/>
      <c r="F65" s="192">
        <v>8.28</v>
      </c>
    </row>
    <row r="66" ht="16.5" customHeight="1" spans="1:6">
      <c r="A66" s="195" t="s">
        <v>46</v>
      </c>
      <c r="B66" s="193" t="s">
        <v>115</v>
      </c>
      <c r="C66" s="192"/>
      <c r="D66" s="192"/>
      <c r="E66" s="192"/>
      <c r="F66" s="192">
        <v>22.19</v>
      </c>
    </row>
    <row r="67" ht="16.5" customHeight="1" spans="1:6">
      <c r="A67" s="192">
        <v>7</v>
      </c>
      <c r="B67" s="193" t="s">
        <v>117</v>
      </c>
      <c r="C67" s="192"/>
      <c r="D67" s="192"/>
      <c r="E67" s="192"/>
      <c r="F67" s="192">
        <v>1.91</v>
      </c>
    </row>
    <row r="68" ht="16.5" customHeight="1" spans="1:6">
      <c r="A68" s="191" t="s">
        <v>119</v>
      </c>
      <c r="B68" s="191" t="s">
        <v>120</v>
      </c>
      <c r="C68" s="196" t="s">
        <v>36</v>
      </c>
      <c r="D68" s="191">
        <v>671.08</v>
      </c>
      <c r="E68" s="191">
        <v>13482</v>
      </c>
      <c r="F68" s="191">
        <f>F58+F4</f>
        <v>905.95</v>
      </c>
    </row>
    <row r="69" spans="1:1">
      <c r="A69" s="197" t="s">
        <v>417</v>
      </c>
    </row>
    <row r="70" spans="1:1">
      <c r="A70" s="197" t="s">
        <v>417</v>
      </c>
    </row>
    <row r="71" ht="20.25" spans="1:1">
      <c r="A71" s="198" t="s">
        <v>417</v>
      </c>
    </row>
  </sheetData>
  <mergeCells count="2">
    <mergeCell ref="A1:B1"/>
    <mergeCell ref="A2:F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16</vt:i4>
      </vt:variant>
    </vt:vector>
  </HeadingPairs>
  <TitlesOfParts>
    <vt:vector size="16" baseType="lpstr">
      <vt:lpstr>汇总表</vt:lpstr>
      <vt:lpstr>地产北湖</vt:lpstr>
      <vt:lpstr>崇明新村</vt:lpstr>
      <vt:lpstr>光明跃进</vt:lpstr>
      <vt:lpstr>崇明庙镇</vt:lpstr>
      <vt:lpstr>崇明城桥镇</vt:lpstr>
      <vt:lpstr>崇明陈家镇</vt:lpstr>
      <vt:lpstr>附件1</vt:lpstr>
      <vt:lpstr>附件2</vt:lpstr>
      <vt:lpstr>附件3</vt:lpstr>
      <vt:lpstr>附件4</vt:lpstr>
      <vt:lpstr>附件5</vt:lpstr>
      <vt:lpstr>附件6</vt:lpstr>
      <vt:lpstr>6#7#</vt:lpstr>
      <vt:lpstr>项目投资概算及资金来源表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yms</cp:lastModifiedBy>
  <dcterms:created xsi:type="dcterms:W3CDTF">2019-12-19T14:46:00Z</dcterms:created>
  <cp:lastPrinted>2022-09-07T16:06:00Z</cp:lastPrinted>
  <dcterms:modified xsi:type="dcterms:W3CDTF">2023-02-01T08:02:32Z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14EAC598B4D8429FA7AD0D49D1812087</vt:lpwstr>
  </property>
</Properties>
</file>