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tabRatio="890" firstSheet="3" activeTab="3"/>
  </bookViews>
  <sheets>
    <sheet name="6#7#" sheetId="18" state="hidden" r:id="rId1"/>
    <sheet name="项目投资概算及资金来源表" sheetId="11" state="hidden" r:id="rId2"/>
    <sheet name="造价服务及招标代理" sheetId="3" state="hidden" r:id="rId3"/>
    <sheet name="闵行浦江镇" sheetId="43" r:id="rId4"/>
  </sheets>
  <externalReferences>
    <externalReference r:id="rId5"/>
    <externalReference r:id="rId6"/>
  </externalReferences>
  <definedNames>
    <definedName name="_1.8__0.1_0.15_0.05_0.06" localSheetId="0">#REF!</definedName>
    <definedName name="h" localSheetId="0">#REF!</definedName>
    <definedName name="_xlnm.Print_Area" localSheetId="0">'6#7#'!$A$1</definedName>
    <definedName name="_xlnm.Print_Area" localSheetId="2" hidden="1">'[1]#REF!'!$1:$1048576</definedName>
    <definedName name="_xlnm.Print_Area" hidden="1">'[1]#REF!'!$1:$1048576</definedName>
    <definedName name="_xlnm.Print_Titles" localSheetId="0">'6#7#'!$1:$1</definedName>
    <definedName name="qqq" localSheetId="0">#REF!</definedName>
    <definedName name="qqqq" localSheetId="0">#REF!</definedName>
    <definedName name="qqqq" localSheetId="2">#REF!</definedName>
    <definedName name="qqqqqq" localSheetId="0">#REF!</definedName>
    <definedName name="wwwww" localSheetId="0">#REF!</definedName>
    <definedName name="z" localSheetId="0">#REF!</definedName>
    <definedName name="Z_32B1BA68_BFE6_11D6_B6E2_00E04CE2850D_.wvu.PrintTitles" localSheetId="2" hidden="1">[2]泰日泵站!$1:$3</definedName>
    <definedName name="Z_32B1BA68_BFE6_11D6_B6E2_00E04CE2850D_.wvu.PrintTitles" hidden="1">[2]泰日泵站!$1:$3</definedName>
    <definedName name="Z_3B0C5E00_BFF4_11D6_918F_00E04C59DC71_.wvu.PrintTitles" localSheetId="2" hidden="1">[2]泰日泵站!$1:$3</definedName>
    <definedName name="Z_3B0C5E00_BFF4_11D6_918F_00E04C59DC71_.wvu.PrintTitles" hidden="1">[2]泰日泵站!$1:$3</definedName>
    <definedName name="调2" localSheetId="0">#REF!</definedName>
    <definedName name="我" localSheetId="0">#REF!</definedName>
  </definedNames>
  <calcPr calcId="144525" fullPrecision="0" concurrentCalc="0"/>
</workbook>
</file>

<file path=xl/sharedStrings.xml><?xml version="1.0" encoding="utf-8"?>
<sst xmlns="http://schemas.openxmlformats.org/spreadsheetml/2006/main" count="533" uniqueCount="263">
  <si>
    <r>
      <rPr>
        <b/>
        <sz val="12"/>
        <color theme="1"/>
        <rFont val="宋体"/>
        <charset val="134"/>
      </rPr>
      <t xml:space="preserve">上海北湖现代农业发展有限公司农田建设项目   </t>
    </r>
    <r>
      <rPr>
        <b/>
        <sz val="18"/>
        <color theme="1"/>
        <rFont val="宋体"/>
        <charset val="134"/>
      </rPr>
      <t xml:space="preserve">6#和7#灌区   </t>
    </r>
    <r>
      <rPr>
        <b/>
        <sz val="12"/>
        <color theme="1"/>
        <rFont val="宋体"/>
        <charset val="134"/>
      </rPr>
      <t>投资概算明细表</t>
    </r>
  </si>
  <si>
    <t>序号</t>
  </si>
  <si>
    <t>类别</t>
  </si>
  <si>
    <t>实施内容</t>
  </si>
  <si>
    <t>单位</t>
  </si>
  <si>
    <t>数量</t>
  </si>
  <si>
    <t>单价（元）</t>
  </si>
  <si>
    <t>合计（万元）</t>
  </si>
  <si>
    <t>备注</t>
  </si>
  <si>
    <t>一</t>
  </si>
  <si>
    <t>设施建设</t>
  </si>
  <si>
    <t>(一)</t>
  </si>
  <si>
    <t>土地平整及修复</t>
  </si>
  <si>
    <t>土地平整</t>
  </si>
  <si>
    <t>亩</t>
  </si>
  <si>
    <t>(二)</t>
  </si>
  <si>
    <t>灌溉与排水设施</t>
  </si>
  <si>
    <t>1</t>
  </si>
  <si>
    <t>灌溉泵站（含水肥一体化）</t>
  </si>
  <si>
    <t>座</t>
  </si>
  <si>
    <t>2</t>
  </si>
  <si>
    <t>沼液调节池</t>
  </si>
  <si>
    <t>3</t>
  </si>
  <si>
    <t>自动化控制</t>
  </si>
  <si>
    <t>项</t>
  </si>
  <si>
    <t>4</t>
  </si>
  <si>
    <t>灌溉设施</t>
  </si>
  <si>
    <t>（1）</t>
  </si>
  <si>
    <t>U-PVC 管DN600</t>
  </si>
  <si>
    <t>m</t>
  </si>
  <si>
    <t>（2）</t>
  </si>
  <si>
    <t>U-PVC 管DN400</t>
  </si>
  <si>
    <t>（3）</t>
  </si>
  <si>
    <t>U-PVC 管DN315</t>
  </si>
  <si>
    <t>（4）</t>
  </si>
  <si>
    <t>管件</t>
  </si>
  <si>
    <t>（5）</t>
  </si>
  <si>
    <t>A型田间进水口1</t>
  </si>
  <si>
    <t>（6）</t>
  </si>
  <si>
    <t>B型田间进水口(穿路)1</t>
  </si>
  <si>
    <t>（7）</t>
  </si>
  <si>
    <t>干管DN630电动阀井</t>
  </si>
  <si>
    <t>（8）</t>
  </si>
  <si>
    <t>支管DN400电动阀井</t>
  </si>
  <si>
    <t>（9）</t>
  </si>
  <si>
    <t>支管DN315电动阀井</t>
  </si>
  <si>
    <t>（10）</t>
  </si>
  <si>
    <t>穿路套管</t>
  </si>
  <si>
    <t>（11）</t>
  </si>
  <si>
    <t>拆除现状沟渠</t>
  </si>
  <si>
    <t>5</t>
  </si>
  <si>
    <t>排水设施</t>
  </si>
  <si>
    <t>排水土沟疏浚</t>
  </si>
  <si>
    <t>新建排水沟</t>
  </si>
  <si>
    <t>进水DN630电动阀井</t>
  </si>
  <si>
    <t>退水DN630电动闸阀</t>
  </si>
  <si>
    <t>田间退水口2（太阳能板）</t>
  </si>
  <si>
    <t>排沟过路涵</t>
  </si>
  <si>
    <t>(三)</t>
  </si>
  <si>
    <t>田间道路设施</t>
  </si>
  <si>
    <t>生产道路修复</t>
  </si>
  <si>
    <r>
      <rPr>
        <sz val="9"/>
        <color rgb="FF000000"/>
        <rFont val="Times New Roman"/>
        <charset val="134"/>
      </rPr>
      <t>m</t>
    </r>
    <r>
      <rPr>
        <vertAlign val="superscript"/>
        <sz val="9"/>
        <color rgb="FF000000"/>
        <rFont val="Times New Roman"/>
        <charset val="134"/>
      </rPr>
      <t>2</t>
    </r>
  </si>
  <si>
    <t>桥梁维修</t>
  </si>
  <si>
    <t>新建涵闸</t>
  </si>
  <si>
    <t>(四)</t>
  </si>
  <si>
    <t>农田防护与生态环境保持设施</t>
  </si>
  <si>
    <t>防护林种植</t>
  </si>
  <si>
    <t>河道保坍护岸</t>
  </si>
  <si>
    <t>沟渠生态系统</t>
  </si>
  <si>
    <t>排水沟水生植物</t>
  </si>
  <si>
    <t>排水沟水生动物</t>
  </si>
  <si>
    <t>两通港生态浮床</t>
  </si>
  <si>
    <t>(五)</t>
  </si>
  <si>
    <t>农田输配电设施</t>
  </si>
  <si>
    <t>线路</t>
  </si>
  <si>
    <t>低压变电柜改造</t>
  </si>
  <si>
    <t>套</t>
  </si>
  <si>
    <t>(六)</t>
  </si>
  <si>
    <t>其他设施</t>
  </si>
  <si>
    <t>场地维修</t>
  </si>
  <si>
    <t>仓库维修</t>
  </si>
  <si>
    <t>育苗暖棚</t>
  </si>
  <si>
    <t>二</t>
  </si>
  <si>
    <t>设备采购</t>
  </si>
  <si>
    <t>自筹</t>
  </si>
  <si>
    <t>三</t>
  </si>
  <si>
    <t>二类费用</t>
  </si>
  <si>
    <r>
      <rPr>
        <sz val="9"/>
        <rFont val="Times New Roman"/>
        <charset val="134"/>
      </rPr>
      <t>(</t>
    </r>
    <r>
      <rPr>
        <sz val="9"/>
        <rFont val="宋体"/>
        <charset val="134"/>
      </rPr>
      <t>一)</t>
    </r>
  </si>
  <si>
    <t>前期工作咨询费</t>
  </si>
  <si>
    <r>
      <rPr>
        <sz val="9"/>
        <rFont val="Times New Roman"/>
        <charset val="134"/>
      </rPr>
      <t>(</t>
    </r>
    <r>
      <rPr>
        <sz val="9"/>
        <rFont val="宋体"/>
        <charset val="134"/>
      </rPr>
      <t>二)</t>
    </r>
  </si>
  <si>
    <t>招标代理费</t>
  </si>
  <si>
    <t>工程量清单编制</t>
  </si>
  <si>
    <r>
      <rPr>
        <sz val="9"/>
        <rFont val="Times New Roman"/>
        <charset val="134"/>
      </rPr>
      <t>(</t>
    </r>
    <r>
      <rPr>
        <sz val="9"/>
        <rFont val="宋体"/>
        <charset val="134"/>
      </rPr>
      <t>三)</t>
    </r>
  </si>
  <si>
    <t>监理费</t>
  </si>
  <si>
    <t>施工建设监理费</t>
  </si>
  <si>
    <t>财务监理费</t>
  </si>
  <si>
    <r>
      <rPr>
        <sz val="9"/>
        <rFont val="Times New Roman"/>
        <charset val="134"/>
      </rPr>
      <t>(</t>
    </r>
    <r>
      <rPr>
        <sz val="9"/>
        <rFont val="宋体"/>
        <charset val="134"/>
      </rPr>
      <t>四)</t>
    </r>
  </si>
  <si>
    <t>勘察设计费</t>
  </si>
  <si>
    <t>勘察费</t>
  </si>
  <si>
    <t>总体设计费</t>
  </si>
  <si>
    <t>(1)</t>
  </si>
  <si>
    <t>基本设计费</t>
  </si>
  <si>
    <t>(2)</t>
  </si>
  <si>
    <t>施工图预算编制费</t>
  </si>
  <si>
    <r>
      <rPr>
        <sz val="9"/>
        <rFont val="Times New Roman"/>
        <charset val="134"/>
      </rPr>
      <t>(</t>
    </r>
    <r>
      <rPr>
        <sz val="9"/>
        <rFont val="宋体"/>
        <charset val="134"/>
      </rPr>
      <t>五)</t>
    </r>
  </si>
  <si>
    <t>审计费</t>
  </si>
  <si>
    <t>四</t>
  </si>
  <si>
    <t>合计</t>
  </si>
  <si>
    <t>项目投资概算及资金来源表</t>
  </si>
  <si>
    <t>预算筹措渠道</t>
  </si>
  <si>
    <t>资金额（万元）</t>
  </si>
  <si>
    <t>一、市级财政投入</t>
  </si>
  <si>
    <t>二、区级财政投入</t>
  </si>
  <si>
    <t>三、镇级财政投入</t>
  </si>
  <si>
    <t>四、实施单位投入</t>
  </si>
  <si>
    <t>预算投资总额</t>
  </si>
  <si>
    <t>关于发布《上海市建设工程造价服务和工程招标代理服务收费标准》的通知　
沪建计联[2005]834号
沪价费[2005]056号
关于贯彻落实《国家发展改革委关于降低部分建设项目收费标准规范收费行为等有关问题的通知》的通知
沪价费〔2011〕007号</t>
  </si>
  <si>
    <t>收费项目</t>
  </si>
  <si>
    <t>收费基数</t>
  </si>
  <si>
    <t>划分标准（万元）</t>
  </si>
  <si>
    <r>
      <rPr>
        <sz val="10.5"/>
        <color indexed="8"/>
        <rFont val="Times New Roman"/>
        <charset val="134"/>
      </rPr>
      <t>100</t>
    </r>
    <r>
      <rPr>
        <sz val="10.5"/>
        <color indexed="8"/>
        <rFont val="宋体"/>
        <charset val="134"/>
      </rPr>
      <t xml:space="preserve">以下
</t>
    </r>
    <r>
      <rPr>
        <sz val="10.5"/>
        <color indexed="8"/>
        <rFont val="Times New Roman"/>
        <charset val="134"/>
      </rPr>
      <t>(</t>
    </r>
    <r>
      <rPr>
        <sz val="10.5"/>
        <color indexed="8"/>
        <rFont val="宋体"/>
        <charset val="134"/>
      </rPr>
      <t>含</t>
    </r>
    <r>
      <rPr>
        <sz val="10.5"/>
        <color indexed="8"/>
        <rFont val="Times New Roman"/>
        <charset val="134"/>
      </rPr>
      <t>100)</t>
    </r>
  </si>
  <si>
    <r>
      <rPr>
        <sz val="10.5"/>
        <color indexed="8"/>
        <rFont val="Times New Roman"/>
        <charset val="134"/>
      </rPr>
      <t>100~500
(</t>
    </r>
    <r>
      <rPr>
        <sz val="10.5"/>
        <color indexed="8"/>
        <rFont val="宋体"/>
        <charset val="134"/>
      </rPr>
      <t>含</t>
    </r>
    <r>
      <rPr>
        <sz val="10.5"/>
        <color indexed="8"/>
        <rFont val="Times New Roman"/>
        <charset val="134"/>
      </rPr>
      <t>500)</t>
    </r>
  </si>
  <si>
    <r>
      <rPr>
        <sz val="10.5"/>
        <color indexed="8"/>
        <rFont val="Times New Roman"/>
        <charset val="134"/>
      </rPr>
      <t>500~1000
(</t>
    </r>
    <r>
      <rPr>
        <sz val="10.5"/>
        <color indexed="8"/>
        <rFont val="宋体"/>
        <charset val="134"/>
      </rPr>
      <t>含</t>
    </r>
    <r>
      <rPr>
        <sz val="10.5"/>
        <color indexed="8"/>
        <rFont val="Times New Roman"/>
        <charset val="134"/>
      </rPr>
      <t>1000)</t>
    </r>
  </si>
  <si>
    <r>
      <rPr>
        <sz val="10.5"/>
        <color indexed="8"/>
        <rFont val="Times New Roman"/>
        <charset val="134"/>
      </rPr>
      <t>1000~3000 
(</t>
    </r>
    <r>
      <rPr>
        <sz val="10.5"/>
        <color indexed="8"/>
        <rFont val="宋体"/>
        <charset val="134"/>
      </rPr>
      <t>含</t>
    </r>
    <r>
      <rPr>
        <sz val="10.5"/>
        <color indexed="8"/>
        <rFont val="Times New Roman"/>
        <charset val="134"/>
      </rPr>
      <t>3000)</t>
    </r>
  </si>
  <si>
    <r>
      <rPr>
        <sz val="10.5"/>
        <color indexed="8"/>
        <rFont val="Times New Roman"/>
        <charset val="134"/>
      </rPr>
      <t>3000~5000
 (</t>
    </r>
    <r>
      <rPr>
        <sz val="10.5"/>
        <color indexed="8"/>
        <rFont val="宋体"/>
        <charset val="134"/>
      </rPr>
      <t>含</t>
    </r>
    <r>
      <rPr>
        <sz val="10.5"/>
        <color indexed="8"/>
        <rFont val="Times New Roman"/>
        <charset val="134"/>
      </rPr>
      <t>5000)</t>
    </r>
  </si>
  <si>
    <r>
      <rPr>
        <sz val="10.5"/>
        <color indexed="8"/>
        <rFont val="Times New Roman"/>
        <charset val="134"/>
      </rPr>
      <t>5000~10000 
(</t>
    </r>
    <r>
      <rPr>
        <sz val="10.5"/>
        <color indexed="8"/>
        <rFont val="宋体"/>
        <charset val="134"/>
      </rPr>
      <t>含</t>
    </r>
    <r>
      <rPr>
        <sz val="10.5"/>
        <color indexed="8"/>
        <rFont val="Times New Roman"/>
        <charset val="134"/>
      </rPr>
      <t>10000)</t>
    </r>
  </si>
  <si>
    <r>
      <rPr>
        <sz val="10.5"/>
        <color indexed="8"/>
        <rFont val="Times New Roman"/>
        <charset val="134"/>
      </rPr>
      <t>10000~50000 
(</t>
    </r>
    <r>
      <rPr>
        <sz val="10.5"/>
        <color indexed="8"/>
        <rFont val="宋体"/>
        <charset val="134"/>
      </rPr>
      <t>含</t>
    </r>
    <r>
      <rPr>
        <sz val="10.5"/>
        <color indexed="8"/>
        <rFont val="Times New Roman"/>
        <charset val="134"/>
      </rPr>
      <t>50000)</t>
    </r>
  </si>
  <si>
    <r>
      <rPr>
        <sz val="10.5"/>
        <color indexed="8"/>
        <rFont val="Times New Roman"/>
        <charset val="134"/>
      </rPr>
      <t>50000~100000 
(</t>
    </r>
    <r>
      <rPr>
        <sz val="10.5"/>
        <color indexed="8"/>
        <rFont val="宋体"/>
        <charset val="134"/>
      </rPr>
      <t>含</t>
    </r>
    <r>
      <rPr>
        <sz val="10.5"/>
        <color indexed="8"/>
        <rFont val="Times New Roman"/>
        <charset val="134"/>
      </rPr>
      <t>100000)</t>
    </r>
  </si>
  <si>
    <r>
      <rPr>
        <sz val="10.5"/>
        <color indexed="8"/>
        <rFont val="Times New Roman"/>
        <charset val="134"/>
      </rPr>
      <t>100000~500000 
(</t>
    </r>
    <r>
      <rPr>
        <sz val="10.5"/>
        <color indexed="8"/>
        <rFont val="宋体"/>
        <charset val="134"/>
      </rPr>
      <t>含</t>
    </r>
    <r>
      <rPr>
        <sz val="10.5"/>
        <color indexed="8"/>
        <rFont val="Times New Roman"/>
        <charset val="134"/>
      </rPr>
      <t>500000)</t>
    </r>
  </si>
  <si>
    <r>
      <rPr>
        <sz val="10.5"/>
        <color indexed="8"/>
        <rFont val="Times New Roman"/>
        <charset val="134"/>
      </rPr>
      <t>500000~1000000 
(</t>
    </r>
    <r>
      <rPr>
        <sz val="10.5"/>
        <color indexed="8"/>
        <rFont val="宋体"/>
        <charset val="134"/>
      </rPr>
      <t>含</t>
    </r>
    <r>
      <rPr>
        <sz val="10.5"/>
        <color indexed="8"/>
        <rFont val="Times New Roman"/>
        <charset val="134"/>
      </rPr>
      <t>1000000)</t>
    </r>
  </si>
  <si>
    <r>
      <rPr>
        <sz val="10.5"/>
        <color indexed="8"/>
        <rFont val="Times New Roman"/>
        <charset val="134"/>
      </rPr>
      <t xml:space="preserve">1000000
</t>
    </r>
    <r>
      <rPr>
        <sz val="10.5"/>
        <color indexed="8"/>
        <rFont val="宋体"/>
        <charset val="134"/>
      </rPr>
      <t>以上</t>
    </r>
  </si>
  <si>
    <r>
      <rPr>
        <sz val="10.5"/>
        <color indexed="8"/>
        <rFont val="宋体"/>
        <charset val="134"/>
      </rPr>
      <t>合计</t>
    </r>
  </si>
  <si>
    <r>
      <rPr>
        <sz val="10.5"/>
        <color indexed="8"/>
        <rFont val="宋体"/>
        <charset val="134"/>
      </rPr>
      <t>备注</t>
    </r>
  </si>
  <si>
    <t>编制项目投资估算</t>
  </si>
  <si>
    <t>总投资</t>
  </si>
  <si>
    <t>编制设计概算</t>
  </si>
  <si>
    <r>
      <rPr>
        <sz val="10.5"/>
        <color indexed="8"/>
        <rFont val="Times New Roman"/>
        <charset val="134"/>
      </rPr>
      <t>a.</t>
    </r>
    <r>
      <rPr>
        <sz val="10.5"/>
        <color indexed="8"/>
        <rFont val="宋体"/>
        <charset val="134"/>
      </rPr>
      <t>编制施工图预算</t>
    </r>
  </si>
  <si>
    <t>建安工程造价</t>
  </si>
  <si>
    <r>
      <rPr>
        <sz val="10.5"/>
        <color indexed="8"/>
        <rFont val="Times New Roman"/>
        <charset val="134"/>
      </rPr>
      <t>b.</t>
    </r>
    <r>
      <rPr>
        <sz val="10.5"/>
        <color indexed="8"/>
        <rFont val="宋体"/>
        <charset val="134"/>
      </rPr>
      <t>编制工程量清单</t>
    </r>
  </si>
  <si>
    <r>
      <rPr>
        <sz val="10.5"/>
        <color indexed="8"/>
        <rFont val="Times New Roman"/>
        <charset val="134"/>
      </rPr>
      <t>c.</t>
    </r>
    <r>
      <rPr>
        <sz val="10.5"/>
        <color indexed="8"/>
        <rFont val="宋体"/>
        <charset val="134"/>
      </rPr>
      <t>编制标底</t>
    </r>
  </si>
  <si>
    <t>同清单</t>
  </si>
  <si>
    <t>勘察招标代理</t>
  </si>
  <si>
    <t>估算投资</t>
  </si>
  <si>
    <t>五</t>
  </si>
  <si>
    <t>设计招标代理</t>
  </si>
  <si>
    <t>六</t>
  </si>
  <si>
    <t>施工监理招标代理</t>
  </si>
  <si>
    <t>七</t>
  </si>
  <si>
    <t>施工招标代理</t>
  </si>
  <si>
    <t>八</t>
  </si>
  <si>
    <t>施工阶段全过程造价控制</t>
  </si>
  <si>
    <t>九</t>
  </si>
  <si>
    <t>工程造价审核</t>
  </si>
  <si>
    <r>
      <rPr>
        <sz val="10.5"/>
        <color indexed="8"/>
        <rFont val="宋体"/>
        <charset val="134"/>
      </rPr>
      <t>核增、减额</t>
    </r>
    <r>
      <rPr>
        <sz val="10.5"/>
        <color indexed="8"/>
        <rFont val="Times New Roman"/>
        <charset val="134"/>
      </rPr>
      <t>5%</t>
    </r>
    <r>
      <rPr>
        <sz val="10.5"/>
        <color indexed="8"/>
        <rFont val="宋体"/>
        <charset val="134"/>
      </rPr>
      <t>以下（含），按送审价收取</t>
    </r>
  </si>
  <si>
    <t>建筑类</t>
  </si>
  <si>
    <t>安装类</t>
  </si>
  <si>
    <r>
      <rPr>
        <sz val="10.5"/>
        <color indexed="8"/>
        <rFont val="宋体"/>
        <charset val="134"/>
      </rPr>
      <t>核增、减额</t>
    </r>
    <r>
      <rPr>
        <sz val="10.5"/>
        <color indexed="8"/>
        <rFont val="Times New Roman"/>
        <charset val="134"/>
      </rPr>
      <t>5%</t>
    </r>
    <r>
      <rPr>
        <sz val="10.5"/>
        <color indexed="8"/>
        <rFont val="宋体"/>
        <charset val="134"/>
      </rPr>
      <t>以上，按核增、减额分别收取</t>
    </r>
  </si>
  <si>
    <t>十</t>
  </si>
  <si>
    <t>钢筋及预埋件计算</t>
  </si>
  <si>
    <t>吨</t>
  </si>
  <si>
    <r>
      <rPr>
        <sz val="10.5"/>
        <color indexed="8"/>
        <rFont val="Times New Roman"/>
        <charset val="134"/>
      </rPr>
      <t>12.00</t>
    </r>
    <r>
      <rPr>
        <sz val="10.5"/>
        <color indexed="8"/>
        <rFont val="宋体"/>
        <charset val="134"/>
      </rPr>
      <t>（元）</t>
    </r>
  </si>
  <si>
    <t>备注：</t>
  </si>
  <si>
    <r>
      <rPr>
        <sz val="12"/>
        <color indexed="8"/>
        <rFont val="Times New Roman"/>
        <charset val="134"/>
      </rPr>
      <t>1</t>
    </r>
    <r>
      <rPr>
        <sz val="12"/>
        <color indexed="8"/>
        <rFont val="宋体"/>
        <charset val="134"/>
      </rPr>
      <t>、收费基数：</t>
    </r>
  </si>
  <si>
    <r>
      <rPr>
        <sz val="12"/>
        <color indexed="8"/>
        <rFont val="宋体"/>
        <charset val="134"/>
      </rPr>
      <t>（</t>
    </r>
    <r>
      <rPr>
        <sz val="12"/>
        <color indexed="8"/>
        <rFont val="Times New Roman"/>
        <charset val="134"/>
      </rPr>
      <t>1</t>
    </r>
    <r>
      <rPr>
        <sz val="12"/>
        <color indexed="8"/>
        <rFont val="宋体"/>
        <charset val="134"/>
      </rPr>
      <t>）估算投资：指建设项目可行性研究批复总投资扣除土地批租、动拆迁费及国内外成套设备生产流水线费用；</t>
    </r>
  </si>
  <si>
    <r>
      <rPr>
        <sz val="12"/>
        <color indexed="8"/>
        <rFont val="宋体"/>
        <charset val="134"/>
      </rPr>
      <t>（</t>
    </r>
    <r>
      <rPr>
        <sz val="12"/>
        <color indexed="8"/>
        <rFont val="Times New Roman"/>
        <charset val="134"/>
      </rPr>
      <t>2</t>
    </r>
    <r>
      <rPr>
        <sz val="12"/>
        <color indexed="8"/>
        <rFont val="宋体"/>
        <charset val="134"/>
      </rPr>
      <t>）建安工程造价：指建筑安装工程费用作为建筑安装工程价值的货币表现，由建筑工程费用和安装工程费用两部分组成；</t>
    </r>
  </si>
  <si>
    <r>
      <rPr>
        <sz val="12"/>
        <color indexed="8"/>
        <rFont val="宋体"/>
        <charset val="134"/>
      </rPr>
      <t>（</t>
    </r>
    <r>
      <rPr>
        <sz val="12"/>
        <color indexed="8"/>
        <rFont val="Times New Roman"/>
        <charset val="134"/>
      </rPr>
      <t>3</t>
    </r>
    <r>
      <rPr>
        <sz val="12"/>
        <color indexed="8"/>
        <rFont val="宋体"/>
        <charset val="134"/>
      </rPr>
      <t>）送审价：指承发包合同中各专业工程报送审核金额；</t>
    </r>
  </si>
  <si>
    <r>
      <rPr>
        <sz val="12"/>
        <color indexed="8"/>
        <rFont val="宋体"/>
        <charset val="134"/>
      </rPr>
      <t>（</t>
    </r>
    <r>
      <rPr>
        <sz val="12"/>
        <color indexed="8"/>
        <rFont val="Times New Roman"/>
        <charset val="134"/>
      </rPr>
      <t>4</t>
    </r>
    <r>
      <rPr>
        <sz val="12"/>
        <color indexed="8"/>
        <rFont val="宋体"/>
        <charset val="134"/>
      </rPr>
      <t>）吨：指钢筋及各种型号预埋件以重量（吨）计算单位。</t>
    </r>
  </si>
  <si>
    <r>
      <rPr>
        <sz val="12"/>
        <color indexed="8"/>
        <rFont val="Times New Roman"/>
        <charset val="134"/>
      </rPr>
      <t>2</t>
    </r>
    <r>
      <rPr>
        <sz val="12"/>
        <color indexed="8"/>
        <rFont val="宋体"/>
        <charset val="134"/>
      </rPr>
      <t>、出售招标文件，可收取编制成本费。收费中不含专家评审费、会务费、差旅费；</t>
    </r>
  </si>
  <si>
    <r>
      <rPr>
        <sz val="12"/>
        <color indexed="8"/>
        <rFont val="Times New Roman"/>
        <charset val="134"/>
      </rPr>
      <t>3</t>
    </r>
    <r>
      <rPr>
        <sz val="12"/>
        <color indexed="8"/>
        <rFont val="宋体"/>
        <charset val="134"/>
      </rPr>
      <t>、施工阶段全过程造价控制按单项承发包合同的建安工程造价收费；</t>
    </r>
  </si>
  <si>
    <r>
      <rPr>
        <sz val="12"/>
        <color indexed="8"/>
        <rFont val="Times New Roman"/>
        <charset val="134"/>
      </rPr>
      <t>4</t>
    </r>
    <r>
      <rPr>
        <sz val="12"/>
        <color indexed="8"/>
        <rFont val="宋体"/>
        <charset val="134"/>
      </rPr>
      <t>、承接编制施工图预算或工程量清单或标底，施工阶段全过程工程造价控制及工程造价审核收费的项目，不包括钢筋及预埋件重量的计算；</t>
    </r>
  </si>
  <si>
    <r>
      <rPr>
        <sz val="12"/>
        <color indexed="8"/>
        <rFont val="Times New Roman"/>
        <charset val="134"/>
      </rPr>
      <t>5</t>
    </r>
    <r>
      <rPr>
        <sz val="12"/>
        <color indexed="8"/>
        <rFont val="宋体"/>
        <charset val="134"/>
      </rPr>
      <t>、工程造价审核收费：</t>
    </r>
  </si>
  <si>
    <r>
      <rPr>
        <sz val="12"/>
        <color indexed="8"/>
        <rFont val="宋体"/>
        <charset val="134"/>
      </rPr>
      <t>（</t>
    </r>
    <r>
      <rPr>
        <sz val="12"/>
        <color indexed="8"/>
        <rFont val="Times New Roman"/>
        <charset val="134"/>
      </rPr>
      <t>1</t>
    </r>
    <r>
      <rPr>
        <sz val="12"/>
        <color indexed="8"/>
        <rFont val="宋体"/>
        <charset val="134"/>
      </rPr>
      <t>）项目送审价核减率在</t>
    </r>
    <r>
      <rPr>
        <sz val="12"/>
        <color indexed="8"/>
        <rFont val="Times New Roman"/>
        <charset val="134"/>
      </rPr>
      <t>5%</t>
    </r>
    <r>
      <rPr>
        <sz val="12"/>
        <color indexed="8"/>
        <rFont val="宋体"/>
        <charset val="134"/>
      </rPr>
      <t>以内的（含</t>
    </r>
    <r>
      <rPr>
        <sz val="12"/>
        <color indexed="8"/>
        <rFont val="Times New Roman"/>
        <charset val="134"/>
      </rPr>
      <t>5%</t>
    </r>
    <r>
      <rPr>
        <sz val="12"/>
        <color indexed="8"/>
        <rFont val="宋体"/>
        <charset val="134"/>
      </rPr>
      <t>），由委托单位负担审核费用；</t>
    </r>
  </si>
  <si>
    <r>
      <rPr>
        <sz val="12"/>
        <color indexed="8"/>
        <rFont val="宋体"/>
        <charset val="134"/>
      </rPr>
      <t>（</t>
    </r>
    <r>
      <rPr>
        <sz val="12"/>
        <color indexed="8"/>
        <rFont val="Times New Roman"/>
        <charset val="134"/>
      </rPr>
      <t>2</t>
    </r>
    <r>
      <rPr>
        <sz val="12"/>
        <color indexed="8"/>
        <rFont val="宋体"/>
        <charset val="134"/>
      </rPr>
      <t>）核减率在</t>
    </r>
    <r>
      <rPr>
        <sz val="12"/>
        <color indexed="8"/>
        <rFont val="Times New Roman"/>
        <charset val="134"/>
      </rPr>
      <t>5%</t>
    </r>
    <r>
      <rPr>
        <sz val="12"/>
        <color indexed="8"/>
        <rFont val="宋体"/>
        <charset val="134"/>
      </rPr>
      <t>以上的，</t>
    </r>
    <r>
      <rPr>
        <sz val="12"/>
        <color indexed="8"/>
        <rFont val="Times New Roman"/>
        <charset val="134"/>
      </rPr>
      <t>5%</t>
    </r>
    <r>
      <rPr>
        <sz val="12"/>
        <color indexed="8"/>
        <rFont val="宋体"/>
        <charset val="134"/>
      </rPr>
      <t>以内的审核费用由委托单位负担，超过部分由原编制单位负担；</t>
    </r>
  </si>
  <si>
    <r>
      <rPr>
        <sz val="12"/>
        <color indexed="8"/>
        <rFont val="宋体"/>
        <charset val="134"/>
      </rPr>
      <t>（</t>
    </r>
    <r>
      <rPr>
        <sz val="12"/>
        <color indexed="8"/>
        <rFont val="Times New Roman"/>
        <charset val="134"/>
      </rPr>
      <t>3</t>
    </r>
    <r>
      <rPr>
        <sz val="12"/>
        <color indexed="8"/>
        <rFont val="宋体"/>
        <charset val="134"/>
      </rPr>
      <t>）项目核减、核增部分分别计算审核费用，核增部分由原编制单位负担审核费用；</t>
    </r>
  </si>
  <si>
    <r>
      <rPr>
        <sz val="12"/>
        <color indexed="8"/>
        <rFont val="宋体"/>
        <charset val="134"/>
      </rPr>
      <t>（</t>
    </r>
    <r>
      <rPr>
        <sz val="12"/>
        <color indexed="8"/>
        <rFont val="Times New Roman"/>
        <charset val="134"/>
      </rPr>
      <t>4</t>
    </r>
    <r>
      <rPr>
        <sz val="12"/>
        <color indexed="8"/>
        <rFont val="宋体"/>
        <charset val="134"/>
      </rPr>
      <t>）房修、园林、装饰工程按</t>
    </r>
    <r>
      <rPr>
        <sz val="12"/>
        <color indexed="8"/>
        <rFont val="Times New Roman"/>
        <charset val="134"/>
      </rPr>
      <t>“</t>
    </r>
    <r>
      <rPr>
        <sz val="12"/>
        <color indexed="8"/>
        <rFont val="宋体"/>
        <charset val="134"/>
      </rPr>
      <t>安装类</t>
    </r>
    <r>
      <rPr>
        <sz val="12"/>
        <color indexed="8"/>
        <rFont val="Times New Roman"/>
        <charset val="134"/>
      </rPr>
      <t xml:space="preserve">” </t>
    </r>
    <r>
      <rPr>
        <sz val="12"/>
        <color indexed="8"/>
        <rFont val="宋体"/>
        <charset val="134"/>
      </rPr>
      <t>收费，其他工程按</t>
    </r>
    <r>
      <rPr>
        <sz val="12"/>
        <color indexed="8"/>
        <rFont val="Times New Roman"/>
        <charset val="134"/>
      </rPr>
      <t>“</t>
    </r>
    <r>
      <rPr>
        <sz val="12"/>
        <color indexed="8"/>
        <rFont val="宋体"/>
        <charset val="134"/>
      </rPr>
      <t>建筑类</t>
    </r>
    <r>
      <rPr>
        <sz val="12"/>
        <color indexed="8"/>
        <rFont val="Times New Roman"/>
        <charset val="134"/>
      </rPr>
      <t>”</t>
    </r>
    <r>
      <rPr>
        <sz val="12"/>
        <color indexed="8"/>
        <rFont val="宋体"/>
        <charset val="134"/>
      </rPr>
      <t>收费；</t>
    </r>
  </si>
  <si>
    <r>
      <rPr>
        <sz val="12"/>
        <color indexed="8"/>
        <rFont val="Times New Roman"/>
        <charset val="134"/>
      </rPr>
      <t>6</t>
    </r>
    <r>
      <rPr>
        <sz val="12"/>
        <color indexed="8"/>
        <rFont val="宋体"/>
        <charset val="134"/>
      </rPr>
      <t>、差额定率累进收费计算。</t>
    </r>
  </si>
  <si>
    <r>
      <rPr>
        <sz val="12"/>
        <color indexed="8"/>
        <rFont val="宋体"/>
        <charset val="134"/>
      </rPr>
      <t>例如：某编制工程量清单的建安工程造价为</t>
    </r>
    <r>
      <rPr>
        <sz val="12"/>
        <color indexed="8"/>
        <rFont val="Times New Roman"/>
        <charset val="134"/>
      </rPr>
      <t>3000</t>
    </r>
    <r>
      <rPr>
        <sz val="12"/>
        <color indexed="8"/>
        <rFont val="宋体"/>
        <charset val="134"/>
      </rPr>
      <t>万元，计算编制工程量清单收费额如下：</t>
    </r>
  </si>
  <si>
    <r>
      <rPr>
        <sz val="12"/>
        <color indexed="8"/>
        <rFont val="Times New Roman"/>
        <charset val="134"/>
      </rPr>
      <t>100</t>
    </r>
    <r>
      <rPr>
        <sz val="12"/>
        <color indexed="8"/>
        <rFont val="宋体"/>
        <charset val="134"/>
      </rPr>
      <t>万元</t>
    </r>
    <r>
      <rPr>
        <sz val="12"/>
        <color indexed="8"/>
        <rFont val="Times New Roman"/>
        <charset val="134"/>
      </rPr>
      <t>×0.37%=0.37</t>
    </r>
    <r>
      <rPr>
        <sz val="12"/>
        <color indexed="8"/>
        <rFont val="宋体"/>
        <charset val="134"/>
      </rPr>
      <t>万元</t>
    </r>
  </si>
  <si>
    <r>
      <rPr>
        <sz val="12"/>
        <color indexed="8"/>
        <rFont val="宋体"/>
        <charset val="134"/>
      </rPr>
      <t>（</t>
    </r>
    <r>
      <rPr>
        <sz val="12"/>
        <color indexed="8"/>
        <rFont val="Times New Roman"/>
        <charset val="134"/>
      </rPr>
      <t>500-100</t>
    </r>
    <r>
      <rPr>
        <sz val="12"/>
        <color indexed="8"/>
        <rFont val="宋体"/>
        <charset val="134"/>
      </rPr>
      <t>）万元</t>
    </r>
    <r>
      <rPr>
        <sz val="12"/>
        <color indexed="8"/>
        <rFont val="Times New Roman"/>
        <charset val="134"/>
      </rPr>
      <t>×0.35%=1.40</t>
    </r>
    <r>
      <rPr>
        <sz val="12"/>
        <color indexed="8"/>
        <rFont val="宋体"/>
        <charset val="134"/>
      </rPr>
      <t>万元</t>
    </r>
  </si>
  <si>
    <r>
      <rPr>
        <sz val="12"/>
        <color indexed="8"/>
        <rFont val="宋体"/>
        <charset val="134"/>
      </rPr>
      <t>（</t>
    </r>
    <r>
      <rPr>
        <sz val="12"/>
        <color indexed="8"/>
        <rFont val="Times New Roman"/>
        <charset val="134"/>
      </rPr>
      <t>1000-500</t>
    </r>
    <r>
      <rPr>
        <sz val="12"/>
        <color indexed="8"/>
        <rFont val="宋体"/>
        <charset val="134"/>
      </rPr>
      <t>）万元</t>
    </r>
    <r>
      <rPr>
        <sz val="12"/>
        <color indexed="8"/>
        <rFont val="Times New Roman"/>
        <charset val="134"/>
      </rPr>
      <t>×0.33%=1.65</t>
    </r>
    <r>
      <rPr>
        <sz val="12"/>
        <color indexed="8"/>
        <rFont val="宋体"/>
        <charset val="134"/>
      </rPr>
      <t>万元</t>
    </r>
  </si>
  <si>
    <r>
      <rPr>
        <sz val="12"/>
        <color indexed="8"/>
        <rFont val="宋体"/>
        <charset val="134"/>
      </rPr>
      <t>（</t>
    </r>
    <r>
      <rPr>
        <sz val="12"/>
        <color indexed="8"/>
        <rFont val="Times New Roman"/>
        <charset val="134"/>
      </rPr>
      <t>3000-1000</t>
    </r>
    <r>
      <rPr>
        <sz val="12"/>
        <color indexed="8"/>
        <rFont val="宋体"/>
        <charset val="134"/>
      </rPr>
      <t>）万元</t>
    </r>
    <r>
      <rPr>
        <sz val="12"/>
        <color indexed="8"/>
        <rFont val="Times New Roman"/>
        <charset val="134"/>
      </rPr>
      <t>×0.29%=5.80</t>
    </r>
    <r>
      <rPr>
        <sz val="12"/>
        <color indexed="8"/>
        <rFont val="宋体"/>
        <charset val="134"/>
      </rPr>
      <t>万元</t>
    </r>
  </si>
  <si>
    <r>
      <rPr>
        <sz val="12"/>
        <color indexed="8"/>
        <rFont val="宋体"/>
        <charset val="134"/>
      </rPr>
      <t>合计收费</t>
    </r>
    <r>
      <rPr>
        <sz val="12"/>
        <color indexed="8"/>
        <rFont val="Times New Roman"/>
        <charset val="134"/>
      </rPr>
      <t>=0.37+1.40+1.65+5.80=9.22</t>
    </r>
    <r>
      <rPr>
        <sz val="12"/>
        <color indexed="8"/>
        <rFont val="宋体"/>
        <charset val="134"/>
      </rPr>
      <t>万元</t>
    </r>
  </si>
  <si>
    <t>附件：</t>
  </si>
  <si>
    <t>闵行区浦江镇永丰村、正义村、汇东村                                                                               高标准农田建设项目（改造提升）投资明细表</t>
  </si>
  <si>
    <t>投资明细内容</t>
  </si>
  <si>
    <t>合计    （万元）</t>
  </si>
  <si>
    <t>工程费用</t>
  </si>
  <si>
    <t>永丰村</t>
  </si>
  <si>
    <t>田块修筑</t>
  </si>
  <si>
    <t>细部平整</t>
  </si>
  <si>
    <t>灌溉与排水</t>
  </si>
  <si>
    <t>改造灌溉泵站</t>
  </si>
  <si>
    <t>西浦河北泵站改造</t>
  </si>
  <si>
    <t>西浦河南泵站改造</t>
  </si>
  <si>
    <t>(3)</t>
  </si>
  <si>
    <t>永丰东泵站改造</t>
  </si>
  <si>
    <t>新建地下渠道DN300UPVC直壁管</t>
  </si>
  <si>
    <t>新建窨井（四通）</t>
  </si>
  <si>
    <t>排水系统</t>
  </si>
  <si>
    <t>新建1.0m明沟</t>
  </si>
  <si>
    <t>现状明沟改造</t>
  </si>
  <si>
    <t>新建生态井</t>
  </si>
  <si>
    <t>(4)</t>
  </si>
  <si>
    <t>φ600钢筋砼管过3米路</t>
  </si>
  <si>
    <t>(5)</t>
  </si>
  <si>
    <t>田间排水口</t>
  </si>
  <si>
    <t>个</t>
  </si>
  <si>
    <t>(6)</t>
  </si>
  <si>
    <t>明沟入河口</t>
  </si>
  <si>
    <t>田间道路工程</t>
  </si>
  <si>
    <t>砼道路 2.5m宽(Y)</t>
  </si>
  <si>
    <t>m2</t>
  </si>
  <si>
    <t>砼道路 3.0m宽(Y)</t>
  </si>
  <si>
    <t>砼道路 3.5m宽(Y)</t>
  </si>
  <si>
    <t>砼道路6.0m宽(Y)</t>
  </si>
  <si>
    <t>过路涵道路修复（3米路）</t>
  </si>
  <si>
    <t>（四）</t>
  </si>
  <si>
    <t>标示标牌</t>
  </si>
  <si>
    <t>正义村</t>
  </si>
  <si>
    <t>正义中泵站改造</t>
  </si>
  <si>
    <t>正义6队泵站改造</t>
  </si>
  <si>
    <t>小机口1改造</t>
  </si>
  <si>
    <t>小机口2改造</t>
  </si>
  <si>
    <t>直径500PE拖拉管</t>
  </si>
  <si>
    <t>新建窨井</t>
  </si>
  <si>
    <t>转角</t>
  </si>
  <si>
    <t>三通</t>
  </si>
  <si>
    <t>新建倒虹吸</t>
  </si>
  <si>
    <t>DN630PE拖拉管</t>
  </si>
  <si>
    <t>倒虹吸窨井</t>
  </si>
  <si>
    <t>明沟φ600钢筋砼管3米路（过路涵）</t>
  </si>
  <si>
    <t>(7)</t>
  </si>
  <si>
    <t>明沟跌水管</t>
  </si>
  <si>
    <t>DN400PVC-U排水管</t>
  </si>
  <si>
    <t>生态井1#</t>
  </si>
  <si>
    <t>生态井2#</t>
  </si>
  <si>
    <t>(8)</t>
  </si>
  <si>
    <t>正义中灌区生态试点区</t>
  </si>
  <si>
    <t>砼道路 3.0m宽(W)</t>
  </si>
  <si>
    <t>农机下坡道</t>
  </si>
  <si>
    <t>汇东村</t>
  </si>
  <si>
    <t>跃进河泵站改造</t>
  </si>
  <si>
    <t>汇东西泵站改造</t>
  </si>
  <si>
    <t>新建地下渠道DN500UPVC直壁管</t>
  </si>
  <si>
    <t>新建地下渠道DN400UPVC直壁管</t>
  </si>
  <si>
    <t>二通</t>
  </si>
  <si>
    <t>地下渠出水口</t>
  </si>
  <si>
    <t>穿路管</t>
  </si>
  <si>
    <t>DN500UPVC直壁管  3米路（开槽埋管）</t>
  </si>
  <si>
    <t>1#分水窨井</t>
  </si>
  <si>
    <t>2#分水窨井</t>
  </si>
  <si>
    <t>DN500PE拖拉管</t>
  </si>
  <si>
    <t>土沟清理</t>
  </si>
  <si>
    <t>φ600钢筋砼管3米路（过路涵）</t>
  </si>
  <si>
    <t>㎡</t>
  </si>
  <si>
    <t>砼道路 4.0m宽(Y)</t>
  </si>
  <si>
    <t>穿路管道路修复（3米路）</t>
  </si>
  <si>
    <t>6</t>
  </si>
  <si>
    <t>测绘费</t>
  </si>
  <si>
    <t>施工监理费</t>
  </si>
  <si>
    <t>招标代理费（含清单编制费）</t>
  </si>
  <si>
    <t>勘测费</t>
  </si>
  <si>
    <t>设计费</t>
  </si>
</sst>
</file>

<file path=xl/styles.xml><?xml version="1.0" encoding="utf-8"?>
<styleSheet xmlns="http://schemas.openxmlformats.org/spreadsheetml/2006/main">
  <numFmts count="8">
    <numFmt numFmtId="176" formatCode="0.000000000000_ "/>
    <numFmt numFmtId="177" formatCode="0_);[Red]\(0\)"/>
    <numFmt numFmtId="178" formatCode="0.00_ "/>
    <numFmt numFmtId="41" formatCode="_ * #,##0_ ;_ * \-#,##0_ ;_ * &quot;-&quot;_ ;_ @_ "/>
    <numFmt numFmtId="179" formatCode="0.00_);[Red]\(0.00\)"/>
    <numFmt numFmtId="42" formatCode="_ &quot;￥&quot;* #,##0_ ;_ &quot;￥&quot;* \-#,##0_ ;_ &quot;￥&quot;* &quot;-&quot;_ ;_ @_ "/>
    <numFmt numFmtId="43" formatCode="_ * #,##0.00_ ;_ * \-#,##0.00_ ;_ * &quot;-&quot;??_ ;_ @_ "/>
    <numFmt numFmtId="44" formatCode="_ &quot;￥&quot;* #,##0.00_ ;_ &quot;￥&quot;* \-#,##0.00_ ;_ &quot;￥&quot;* &quot;-&quot;??_ ;_ @_ "/>
  </numFmts>
  <fonts count="47">
    <font>
      <sz val="11"/>
      <color theme="1"/>
      <name val="宋体"/>
      <charset val="134"/>
      <scheme val="minor"/>
    </font>
    <font>
      <sz val="12"/>
      <name val="宋体"/>
      <charset val="134"/>
    </font>
    <font>
      <sz val="9"/>
      <name val="宋体"/>
      <charset val="134"/>
    </font>
    <font>
      <sz val="14"/>
      <name val="黑体"/>
      <charset val="134"/>
    </font>
    <font>
      <b/>
      <sz val="12"/>
      <color theme="1"/>
      <name val="仿宋"/>
      <charset val="134"/>
    </font>
    <font>
      <b/>
      <sz val="10"/>
      <name val="宋体"/>
      <charset val="134"/>
    </font>
    <font>
      <sz val="10"/>
      <name val="宋体"/>
      <charset val="134"/>
    </font>
    <font>
      <sz val="10"/>
      <color theme="1"/>
      <name val="宋体"/>
      <charset val="134"/>
      <scheme val="minor"/>
    </font>
    <font>
      <b/>
      <sz val="10"/>
      <color theme="1"/>
      <name val="宋体"/>
      <charset val="134"/>
      <scheme val="minor"/>
    </font>
    <font>
      <sz val="10.5"/>
      <color indexed="8"/>
      <name val="宋体"/>
      <charset val="134"/>
    </font>
    <font>
      <sz val="10.5"/>
      <color indexed="8"/>
      <name val="Times New Roman"/>
      <charset val="134"/>
    </font>
    <font>
      <sz val="12"/>
      <color indexed="8"/>
      <name val="宋体"/>
      <charset val="134"/>
    </font>
    <font>
      <sz val="12"/>
      <color indexed="8"/>
      <name val="Times New Roman"/>
      <charset val="134"/>
    </font>
    <font>
      <sz val="11"/>
      <color indexed="8"/>
      <name val="宋体"/>
      <charset val="134"/>
    </font>
    <font>
      <b/>
      <sz val="12"/>
      <name val="宋体"/>
      <charset val="134"/>
    </font>
    <font>
      <b/>
      <sz val="9"/>
      <color theme="1"/>
      <name val="宋体"/>
      <charset val="134"/>
      <scheme val="minor"/>
    </font>
    <font>
      <sz val="9"/>
      <color theme="1"/>
      <name val="宋体"/>
      <charset val="134"/>
      <scheme val="minor"/>
    </font>
    <font>
      <b/>
      <sz val="12"/>
      <color theme="1"/>
      <name val="宋体"/>
      <charset val="134"/>
      <scheme val="minor"/>
    </font>
    <font>
      <sz val="9"/>
      <color rgb="FF000000"/>
      <name val="宋体"/>
      <charset val="134"/>
    </font>
    <font>
      <b/>
      <sz val="9"/>
      <color rgb="FF000000"/>
      <name val="Times New Roman"/>
      <charset val="134"/>
    </font>
    <font>
      <sz val="9"/>
      <color rgb="FF000000"/>
      <name val="Times New Roman"/>
      <charset val="134"/>
    </font>
    <font>
      <sz val="9"/>
      <name val="Times New Roman"/>
      <charset val="134"/>
    </font>
    <font>
      <sz val="10"/>
      <color rgb="FF000000"/>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FA7D00"/>
      <name val="宋体"/>
      <charset val="0"/>
      <scheme val="minor"/>
    </font>
    <font>
      <sz val="11"/>
      <color rgb="FF3F3F76"/>
      <name val="宋体"/>
      <charset val="0"/>
      <scheme val="minor"/>
    </font>
    <font>
      <b/>
      <sz val="11"/>
      <color rgb="FFFFFFFF"/>
      <name val="宋体"/>
      <charset val="0"/>
      <scheme val="minor"/>
    </font>
    <font>
      <b/>
      <sz val="15"/>
      <color theme="3"/>
      <name val="宋体"/>
      <charset val="134"/>
      <scheme val="minor"/>
    </font>
    <font>
      <b/>
      <sz val="13"/>
      <color theme="3"/>
      <name val="宋体"/>
      <charset val="134"/>
      <scheme val="minor"/>
    </font>
    <font>
      <b/>
      <sz val="18"/>
      <color theme="3"/>
      <name val="宋体"/>
      <charset val="134"/>
      <scheme val="minor"/>
    </font>
    <font>
      <sz val="12"/>
      <color theme="1"/>
      <name val="宋体"/>
      <charset val="134"/>
    </font>
    <font>
      <sz val="11"/>
      <color rgb="FFFF0000"/>
      <name val="宋体"/>
      <charset val="0"/>
      <scheme val="minor"/>
    </font>
    <font>
      <b/>
      <sz val="11"/>
      <color rgb="FF3F3F3F"/>
      <name val="宋体"/>
      <charset val="0"/>
      <scheme val="minor"/>
    </font>
    <font>
      <sz val="10"/>
      <color indexed="8"/>
      <name val="Arial"/>
      <charset val="134"/>
    </font>
    <font>
      <u/>
      <sz val="11"/>
      <color rgb="FF800080"/>
      <name val="宋体"/>
      <charset val="0"/>
      <scheme val="minor"/>
    </font>
    <font>
      <i/>
      <sz val="11"/>
      <color rgb="FF7F7F7F"/>
      <name val="宋体"/>
      <charset val="0"/>
      <scheme val="minor"/>
    </font>
    <font>
      <u/>
      <sz val="11"/>
      <color rgb="FF0000FF"/>
      <name val="宋体"/>
      <charset val="0"/>
      <scheme val="minor"/>
    </font>
    <font>
      <sz val="11"/>
      <color rgb="FF006100"/>
      <name val="宋体"/>
      <charset val="0"/>
      <scheme val="minor"/>
    </font>
    <font>
      <b/>
      <sz val="11"/>
      <color rgb="FFFA7D00"/>
      <name val="宋体"/>
      <charset val="0"/>
      <scheme val="minor"/>
    </font>
    <font>
      <b/>
      <sz val="11"/>
      <color theme="1"/>
      <name val="宋体"/>
      <charset val="0"/>
      <scheme val="minor"/>
    </font>
    <font>
      <b/>
      <sz val="12"/>
      <color theme="1"/>
      <name val="宋体"/>
      <charset val="134"/>
    </font>
    <font>
      <b/>
      <sz val="18"/>
      <color theme="1"/>
      <name val="宋体"/>
      <charset val="134"/>
    </font>
    <font>
      <vertAlign val="superscript"/>
      <sz val="9"/>
      <color rgb="FF000000"/>
      <name val="Times New Roman"/>
      <charset val="134"/>
    </font>
  </fonts>
  <fills count="38">
    <fill>
      <patternFill patternType="none"/>
    </fill>
    <fill>
      <patternFill patternType="gray125"/>
    </fill>
    <fill>
      <patternFill patternType="solid">
        <fgColor theme="0" tint="-0.0499893185216834"/>
        <bgColor indexed="64"/>
      </patternFill>
    </fill>
    <fill>
      <patternFill patternType="solid">
        <fgColor theme="0" tint="-0.05"/>
        <bgColor indexed="64"/>
      </patternFill>
    </fill>
    <fill>
      <patternFill patternType="solid">
        <fgColor indexed="40"/>
        <bgColor indexed="64"/>
      </patternFill>
    </fill>
    <fill>
      <patternFill patternType="solid">
        <fgColor indexed="51"/>
        <bgColor indexed="64"/>
      </patternFill>
    </fill>
    <fill>
      <patternFill patternType="solid">
        <fgColor rgb="FFFFFF00"/>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rgb="FFFFFFCC"/>
        <bgColor indexed="64"/>
      </patternFill>
    </fill>
    <fill>
      <patternFill patternType="solid">
        <fgColor rgb="FFF2F2F2"/>
        <bgColor indexed="64"/>
      </patternFill>
    </fill>
    <fill>
      <patternFill patternType="solid">
        <fgColor theme="8" tint="0.399975585192419"/>
        <bgColor indexed="64"/>
      </patternFill>
    </fill>
    <fill>
      <patternFill patternType="solid">
        <fgColor theme="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7"/>
        <bgColor indexed="64"/>
      </patternFill>
    </fill>
  </fills>
  <borders count="19">
    <border>
      <left/>
      <right/>
      <top/>
      <bottom/>
      <diagonal/>
    </border>
    <border>
      <left style="thin">
        <color auto="true"/>
      </left>
      <right style="thin">
        <color auto="true"/>
      </right>
      <top style="thin">
        <color auto="true"/>
      </top>
      <bottom style="thin">
        <color auto="true"/>
      </bottom>
      <diagonal/>
    </border>
    <border>
      <left/>
      <right/>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top style="thin">
        <color auto="true"/>
      </top>
      <bottom/>
      <diagonal/>
    </border>
    <border>
      <left/>
      <right style="thin">
        <color auto="true"/>
      </right>
      <top style="thin">
        <color auto="true"/>
      </top>
      <bottom/>
      <diagonal/>
    </border>
    <border>
      <left/>
      <right/>
      <top style="thin">
        <color auto="true"/>
      </top>
      <bottom style="thin">
        <color auto="true"/>
      </bottom>
      <diagonal/>
    </border>
    <border>
      <left/>
      <right style="thin">
        <color auto="true"/>
      </right>
      <top/>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65">
    <xf numFmtId="0" fontId="0" fillId="0" borderId="0">
      <alignment vertical="center"/>
    </xf>
    <xf numFmtId="0" fontId="34" fillId="0" borderId="0"/>
    <xf numFmtId="0" fontId="1" fillId="0" borderId="0"/>
    <xf numFmtId="0" fontId="1" fillId="0" borderId="0">
      <alignment vertical="center"/>
    </xf>
    <xf numFmtId="0" fontId="1" fillId="0" borderId="0">
      <alignment vertical="center"/>
    </xf>
    <xf numFmtId="0" fontId="0" fillId="0" borderId="0">
      <alignment vertical="center"/>
    </xf>
    <xf numFmtId="0" fontId="24" fillId="26" borderId="0" applyNumberFormat="false" applyBorder="false" applyAlignment="false" applyProtection="false">
      <alignment vertical="center"/>
    </xf>
    <xf numFmtId="0" fontId="24" fillId="33" borderId="0" applyNumberFormat="false" applyBorder="false" applyAlignment="false" applyProtection="false">
      <alignment vertical="center"/>
    </xf>
    <xf numFmtId="0" fontId="1" fillId="0" borderId="0"/>
    <xf numFmtId="0" fontId="23" fillId="30" borderId="0" applyNumberFormat="false" applyBorder="false" applyAlignment="false" applyProtection="false">
      <alignment vertical="center"/>
    </xf>
    <xf numFmtId="0" fontId="24" fillId="24" borderId="0" applyNumberFormat="false" applyBorder="false" applyAlignment="false" applyProtection="false">
      <alignment vertical="center"/>
    </xf>
    <xf numFmtId="0" fontId="24" fillId="23" borderId="0" applyNumberFormat="false" applyBorder="false" applyAlignment="false" applyProtection="false">
      <alignment vertical="center"/>
    </xf>
    <xf numFmtId="0" fontId="23" fillId="22" borderId="0" applyNumberFormat="false" applyBorder="false" applyAlignment="false" applyProtection="false">
      <alignment vertical="center"/>
    </xf>
    <xf numFmtId="0" fontId="24" fillId="21" borderId="0" applyNumberFormat="false" applyBorder="false" applyAlignment="false" applyProtection="false">
      <alignment vertical="center"/>
    </xf>
    <xf numFmtId="0" fontId="27" fillId="0" borderId="16" applyNumberFormat="false" applyFill="false" applyAlignment="false" applyProtection="false">
      <alignment vertical="center"/>
    </xf>
    <xf numFmtId="0" fontId="39" fillId="0" borderId="0" applyNumberFormat="false" applyFill="false" applyBorder="false" applyAlignment="false" applyProtection="false">
      <alignment vertical="center"/>
    </xf>
    <xf numFmtId="0" fontId="43" fillId="0" borderId="18"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2" fillId="0" borderId="1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 fillId="0" borderId="0">
      <alignment vertical="center"/>
    </xf>
    <xf numFmtId="0" fontId="23" fillId="31"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24" fillId="32" borderId="0" applyNumberFormat="false" applyBorder="false" applyAlignment="false" applyProtection="false">
      <alignment vertical="center"/>
    </xf>
    <xf numFmtId="0" fontId="37" fillId="0" borderId="0"/>
    <xf numFmtId="0" fontId="23" fillId="29" borderId="0" applyNumberFormat="false" applyBorder="false" applyAlignment="false" applyProtection="false">
      <alignment vertical="center"/>
    </xf>
    <xf numFmtId="0" fontId="31" fillId="0" borderId="14" applyNumberFormat="false" applyFill="false" applyAlignment="false" applyProtection="false">
      <alignment vertical="center"/>
    </xf>
    <xf numFmtId="0" fontId="40" fillId="0" borderId="0" applyNumberFormat="false" applyFill="false" applyBorder="false" applyAlignment="false" applyProtection="false">
      <alignment vertical="center"/>
    </xf>
    <xf numFmtId="0" fontId="24" fillId="3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4" fillId="35" borderId="0" applyNumberFormat="false" applyBorder="false" applyAlignment="false" applyProtection="false">
      <alignment vertical="center"/>
    </xf>
    <xf numFmtId="0" fontId="42" fillId="28" borderId="12" applyNumberFormat="false" applyAlignment="false" applyProtection="false">
      <alignment vertical="center"/>
    </xf>
    <xf numFmtId="0" fontId="38"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3" fillId="37" borderId="0" applyNumberFormat="false" applyBorder="false" applyAlignment="false" applyProtection="false">
      <alignment vertical="center"/>
    </xf>
    <xf numFmtId="0" fontId="24" fillId="20" borderId="0" applyNumberFormat="false" applyBorder="false" applyAlignment="false" applyProtection="false">
      <alignment vertical="center"/>
    </xf>
    <xf numFmtId="0" fontId="0" fillId="0" borderId="0">
      <alignment vertical="center"/>
    </xf>
    <xf numFmtId="0" fontId="1" fillId="0" borderId="0"/>
    <xf numFmtId="0" fontId="23" fillId="25" borderId="0" applyNumberFormat="false" applyBorder="false" applyAlignment="false" applyProtection="false">
      <alignment vertical="center"/>
    </xf>
    <xf numFmtId="0" fontId="29" fillId="18" borderId="12" applyNumberFormat="false" applyAlignment="false" applyProtection="false">
      <alignment vertical="center"/>
    </xf>
    <xf numFmtId="0" fontId="36" fillId="28" borderId="17" applyNumberFormat="false" applyAlignment="false" applyProtection="false">
      <alignment vertical="center"/>
    </xf>
    <xf numFmtId="0" fontId="30" fillId="19" borderId="13" applyNumberFormat="false" applyAlignment="false" applyProtection="false">
      <alignment vertical="center"/>
    </xf>
    <xf numFmtId="0" fontId="0" fillId="0" borderId="0">
      <alignment vertical="center"/>
    </xf>
    <xf numFmtId="0" fontId="1" fillId="0" borderId="0">
      <alignment vertical="center"/>
    </xf>
    <xf numFmtId="0" fontId="28" fillId="0" borderId="11" applyNumberFormat="false" applyFill="false" applyAlignment="false" applyProtection="false">
      <alignment vertical="center"/>
    </xf>
    <xf numFmtId="0" fontId="23" fillId="16" borderId="0" applyNumberFormat="false" applyBorder="false" applyAlignment="false" applyProtection="false">
      <alignment vertical="center"/>
    </xf>
    <xf numFmtId="0" fontId="1" fillId="0" borderId="0">
      <alignment vertical="center"/>
    </xf>
    <xf numFmtId="0" fontId="23" fillId="17" borderId="0" applyNumberFormat="false" applyBorder="false" applyAlignment="false" applyProtection="false">
      <alignment vertical="center"/>
    </xf>
    <xf numFmtId="0" fontId="0" fillId="27" borderId="15" applyNumberFormat="false" applyFont="false" applyAlignment="false" applyProtection="false">
      <alignment vertical="center"/>
    </xf>
    <xf numFmtId="0" fontId="33" fillId="0" borderId="0" applyNumberFormat="false" applyFill="false" applyBorder="false" applyAlignment="false" applyProtection="false">
      <alignment vertical="center"/>
    </xf>
    <xf numFmtId="0" fontId="41" fillId="34"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23" fillId="15"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24" fillId="13" borderId="0" applyNumberFormat="false" applyBorder="false" applyAlignment="false" applyProtection="false">
      <alignment vertical="center"/>
    </xf>
    <xf numFmtId="0" fontId="1" fillId="0" borderId="0"/>
    <xf numFmtId="0" fontId="25" fillId="12" borderId="0" applyNumberFormat="false" applyBorder="false" applyAlignment="false" applyProtection="false">
      <alignment vertical="center"/>
    </xf>
    <xf numFmtId="0" fontId="23" fillId="11" borderId="0" applyNumberFormat="false" applyBorder="false" applyAlignment="false" applyProtection="false">
      <alignment vertical="center"/>
    </xf>
    <xf numFmtId="0" fontId="24" fillId="10" borderId="0" applyNumberFormat="false" applyBorder="false" applyAlignment="false" applyProtection="false">
      <alignment vertical="center"/>
    </xf>
    <xf numFmtId="0" fontId="1" fillId="0" borderId="0"/>
    <xf numFmtId="0" fontId="1" fillId="0" borderId="0"/>
    <xf numFmtId="0" fontId="23" fillId="9" borderId="0" applyNumberFormat="false" applyBorder="false" applyAlignment="false" applyProtection="false">
      <alignment vertical="center"/>
    </xf>
    <xf numFmtId="0" fontId="24" fillId="8" borderId="0" applyNumberFormat="false" applyBorder="false" applyAlignment="false" applyProtection="false">
      <alignment vertical="center"/>
    </xf>
    <xf numFmtId="0" fontId="23" fillId="7" borderId="0" applyNumberFormat="false" applyBorder="false" applyAlignment="false" applyProtection="false">
      <alignment vertical="center"/>
    </xf>
  </cellStyleXfs>
  <cellXfs count="100">
    <xf numFmtId="0" fontId="0" fillId="0" borderId="0" xfId="0">
      <alignment vertical="center"/>
    </xf>
    <xf numFmtId="0" fontId="0" fillId="0" borderId="0" xfId="0" applyAlignment="true">
      <alignment horizontal="left" vertical="center"/>
    </xf>
    <xf numFmtId="178" fontId="0" fillId="0" borderId="0" xfId="0" applyNumberFormat="true">
      <alignment vertical="center"/>
    </xf>
    <xf numFmtId="49" fontId="1" fillId="0" borderId="0" xfId="0" applyNumberFormat="true" applyFont="true" applyFill="true">
      <alignment vertical="center"/>
    </xf>
    <xf numFmtId="0" fontId="2" fillId="0" borderId="0" xfId="0" applyFont="true" applyFill="true" applyAlignment="true">
      <alignment horizontal="left" vertical="center" wrapText="true"/>
    </xf>
    <xf numFmtId="0" fontId="2" fillId="0" borderId="0" xfId="0" applyFont="true" applyFill="true" applyAlignment="true">
      <alignment horizontal="center" vertical="center"/>
    </xf>
    <xf numFmtId="0" fontId="2" fillId="0" borderId="0" xfId="0" applyFont="true" applyFill="true">
      <alignment vertical="center"/>
    </xf>
    <xf numFmtId="49" fontId="3" fillId="0" borderId="0" xfId="0" applyNumberFormat="true" applyFont="true" applyBorder="true" applyAlignment="true">
      <alignment horizontal="center" vertical="center" wrapText="true"/>
    </xf>
    <xf numFmtId="0" fontId="4" fillId="0" borderId="1" xfId="0" applyFont="true" applyFill="true" applyBorder="true" applyAlignment="true">
      <alignment horizontal="center" vertical="center"/>
    </xf>
    <xf numFmtId="0" fontId="5" fillId="2" borderId="1" xfId="0" applyFont="true" applyFill="true" applyBorder="true" applyAlignment="true">
      <alignment horizontal="center" vertical="center"/>
    </xf>
    <xf numFmtId="0" fontId="5" fillId="2" borderId="1" xfId="0" applyFont="true" applyFill="true" applyBorder="true" applyAlignment="true">
      <alignment horizontal="left" vertical="center"/>
    </xf>
    <xf numFmtId="49" fontId="5" fillId="0" borderId="1" xfId="0" applyNumberFormat="true" applyFont="true" applyFill="true" applyBorder="true" applyAlignment="true">
      <alignment horizontal="center" vertical="center"/>
    </xf>
    <xf numFmtId="49" fontId="5" fillId="0" borderId="1" xfId="0" applyNumberFormat="true" applyFont="true" applyFill="true" applyBorder="true" applyAlignment="true">
      <alignment horizontal="left" vertical="center" wrapText="true"/>
    </xf>
    <xf numFmtId="0" fontId="6" fillId="0" borderId="1" xfId="0" applyFont="true" applyBorder="true" applyAlignment="true">
      <alignment horizontal="center" vertical="center"/>
    </xf>
    <xf numFmtId="49" fontId="6" fillId="0" borderId="1" xfId="0" applyNumberFormat="true" applyFont="true" applyFill="true" applyBorder="true" applyAlignment="true">
      <alignment horizontal="center" vertical="center"/>
    </xf>
    <xf numFmtId="49" fontId="6" fillId="0" borderId="1" xfId="0" applyNumberFormat="true" applyFont="true" applyFill="true" applyBorder="true" applyAlignment="true">
      <alignment horizontal="left" vertical="center" wrapText="true"/>
    </xf>
    <xf numFmtId="0" fontId="6" fillId="0" borderId="1" xfId="0" applyFont="true" applyFill="true" applyBorder="true" applyAlignment="true">
      <alignment horizontal="center" vertical="center"/>
    </xf>
    <xf numFmtId="0" fontId="7" fillId="0" borderId="1" xfId="0" applyFont="true" applyBorder="true" applyAlignment="true">
      <alignment horizontal="center" vertical="center"/>
    </xf>
    <xf numFmtId="0" fontId="4" fillId="0" borderId="1" xfId="0" applyFont="true" applyFill="true" applyBorder="true" applyAlignment="true">
      <alignment horizontal="center" vertical="center" wrapText="true"/>
    </xf>
    <xf numFmtId="178" fontId="5" fillId="2" borderId="1" xfId="0" applyNumberFormat="true" applyFont="true" applyFill="true" applyBorder="true" applyAlignment="true">
      <alignment horizontal="right" vertical="center"/>
    </xf>
    <xf numFmtId="178" fontId="5" fillId="0" borderId="1" xfId="0" applyNumberFormat="true" applyFont="true" applyBorder="true" applyAlignment="true">
      <alignment horizontal="right" vertical="center"/>
    </xf>
    <xf numFmtId="178" fontId="6" fillId="0" borderId="1" xfId="0" applyNumberFormat="true" applyFont="true" applyBorder="true" applyAlignment="true">
      <alignment horizontal="center" vertical="center"/>
    </xf>
    <xf numFmtId="178" fontId="6" fillId="0" borderId="1" xfId="0" applyNumberFormat="true" applyFont="true" applyBorder="true" applyAlignment="true">
      <alignment horizontal="right" vertical="center"/>
    </xf>
    <xf numFmtId="49" fontId="5" fillId="3" borderId="1" xfId="0" applyNumberFormat="true" applyFont="true" applyFill="true" applyBorder="true" applyAlignment="true">
      <alignment horizontal="center" vertical="center"/>
    </xf>
    <xf numFmtId="0" fontId="5" fillId="3" borderId="1" xfId="0" applyFont="true" applyFill="true" applyBorder="true" applyAlignment="true">
      <alignment horizontal="left" vertical="center" wrapText="true"/>
    </xf>
    <xf numFmtId="179" fontId="5" fillId="3" borderId="1" xfId="0" applyNumberFormat="true" applyFont="true" applyFill="true" applyBorder="true" applyAlignment="true">
      <alignment horizontal="center" vertical="center"/>
    </xf>
    <xf numFmtId="0" fontId="7" fillId="3" borderId="1" xfId="0" applyFont="true" applyFill="true" applyBorder="true" applyAlignment="true">
      <alignment horizontal="center" vertical="center"/>
    </xf>
    <xf numFmtId="49" fontId="6" fillId="0" borderId="1" xfId="5" applyNumberFormat="true" applyFont="true" applyBorder="true" applyAlignment="true">
      <alignment horizontal="center" vertical="center" wrapText="true"/>
    </xf>
    <xf numFmtId="177" fontId="6" fillId="0" borderId="1" xfId="0" applyNumberFormat="true" applyFont="true" applyFill="true" applyBorder="true" applyAlignment="true">
      <alignment horizontal="left" vertical="center" wrapText="true"/>
    </xf>
    <xf numFmtId="179" fontId="6" fillId="0" borderId="1" xfId="0" applyNumberFormat="true" applyFont="true" applyBorder="true" applyAlignment="true">
      <alignment horizontal="center" vertical="center"/>
    </xf>
    <xf numFmtId="0" fontId="6" fillId="0" borderId="1" xfId="0" applyFont="true" applyFill="true" applyBorder="true" applyAlignment="true">
      <alignment horizontal="left" vertical="center" wrapText="true"/>
    </xf>
    <xf numFmtId="0" fontId="5" fillId="3" borderId="1" xfId="0" applyFont="true" applyFill="true" applyBorder="true" applyAlignment="true">
      <alignment horizontal="center" vertical="center" wrapText="true"/>
    </xf>
    <xf numFmtId="177" fontId="5" fillId="3" borderId="1" xfId="0" applyNumberFormat="true" applyFont="true" applyFill="true" applyBorder="true" applyAlignment="true">
      <alignment horizontal="center" vertical="center" wrapText="true"/>
    </xf>
    <xf numFmtId="0" fontId="8" fillId="3" borderId="1" xfId="0" applyFont="true" applyFill="true" applyBorder="true" applyAlignment="true">
      <alignment horizontal="center" vertical="center"/>
    </xf>
    <xf numFmtId="0" fontId="8" fillId="0" borderId="1" xfId="0" applyFont="true" applyBorder="true">
      <alignment vertical="center"/>
    </xf>
    <xf numFmtId="0" fontId="8" fillId="3" borderId="1" xfId="0" applyFont="true" applyFill="true" applyBorder="true">
      <alignment vertical="center"/>
    </xf>
    <xf numFmtId="178" fontId="8" fillId="3" borderId="1" xfId="0" applyNumberFormat="true" applyFont="true" applyFill="true" applyBorder="true" applyAlignment="true">
      <alignment horizontal="center" vertical="center"/>
    </xf>
    <xf numFmtId="0" fontId="0" fillId="0" borderId="0" xfId="43" applyProtection="true">
      <alignment vertical="center"/>
      <protection locked="false"/>
    </xf>
    <xf numFmtId="0" fontId="0" fillId="0" borderId="2" xfId="43" applyBorder="true" applyAlignment="true" applyProtection="true">
      <alignment horizontal="center" vertical="center" wrapText="true"/>
      <protection locked="false"/>
    </xf>
    <xf numFmtId="0" fontId="9" fillId="0" borderId="1" xfId="43" applyFont="true" applyBorder="true" applyAlignment="true" applyProtection="true">
      <alignment horizontal="center" vertical="center" wrapText="true"/>
      <protection locked="false"/>
    </xf>
    <xf numFmtId="0" fontId="9" fillId="0" borderId="3" xfId="43" applyFont="true" applyBorder="true" applyAlignment="true" applyProtection="true">
      <alignment horizontal="center" vertical="center" wrapText="true"/>
      <protection locked="false"/>
    </xf>
    <xf numFmtId="0" fontId="9" fillId="0" borderId="3" xfId="43" applyFont="true" applyBorder="true" applyAlignment="true" applyProtection="true">
      <alignment horizontal="left" vertical="center" wrapText="true"/>
      <protection locked="false"/>
    </xf>
    <xf numFmtId="0" fontId="9" fillId="0" borderId="4" xfId="43" applyFont="true" applyBorder="true" applyAlignment="true" applyProtection="true">
      <alignment horizontal="center" vertical="center" wrapText="true"/>
      <protection locked="false"/>
    </xf>
    <xf numFmtId="0" fontId="9" fillId="0" borderId="4" xfId="43" applyFont="true" applyBorder="true" applyAlignment="true" applyProtection="true">
      <alignment horizontal="left" vertical="center" wrapText="true"/>
      <protection locked="false"/>
    </xf>
    <xf numFmtId="0" fontId="9" fillId="4" borderId="5" xfId="43" applyFont="true" applyFill="true" applyBorder="true" applyAlignment="true" applyProtection="true">
      <alignment horizontal="center" vertical="center" wrapText="true"/>
      <protection locked="false"/>
    </xf>
    <xf numFmtId="0" fontId="9" fillId="4" borderId="6" xfId="43" applyFont="true" applyFill="true" applyBorder="true" applyAlignment="true" applyProtection="true">
      <alignment horizontal="center" vertical="center" wrapText="true"/>
      <protection locked="false"/>
    </xf>
    <xf numFmtId="0" fontId="9" fillId="0" borderId="1" xfId="43" applyFont="true" applyBorder="true" applyAlignment="true" applyProtection="true">
      <alignment horizontal="left" vertical="center" wrapText="true"/>
      <protection locked="false"/>
    </xf>
    <xf numFmtId="0" fontId="10" fillId="0" borderId="1" xfId="43" applyFont="true" applyBorder="true" applyAlignment="true" applyProtection="true">
      <alignment horizontal="left" vertical="center" wrapText="true"/>
      <protection locked="false"/>
    </xf>
    <xf numFmtId="0" fontId="9" fillId="0" borderId="7" xfId="43" applyFont="true" applyBorder="true" applyAlignment="true" applyProtection="true">
      <alignment horizontal="center" vertical="center" wrapText="true"/>
      <protection locked="false"/>
    </xf>
    <xf numFmtId="0" fontId="9" fillId="0" borderId="8" xfId="43" applyFont="true" applyBorder="true" applyAlignment="true" applyProtection="true">
      <alignment horizontal="center" vertical="center" wrapText="true"/>
      <protection locked="false"/>
    </xf>
    <xf numFmtId="0" fontId="10" fillId="0" borderId="3" xfId="43" applyFont="true" applyBorder="true" applyAlignment="true" applyProtection="true">
      <alignment horizontal="left" vertical="center" wrapText="true"/>
      <protection locked="false"/>
    </xf>
    <xf numFmtId="0" fontId="10" fillId="0" borderId="4" xfId="43" applyFont="true" applyBorder="true" applyAlignment="true" applyProtection="true">
      <alignment horizontal="left" vertical="center" wrapText="true"/>
      <protection locked="false"/>
    </xf>
    <xf numFmtId="2" fontId="9" fillId="4" borderId="5" xfId="43" applyNumberFormat="true" applyFont="true" applyFill="true" applyBorder="true" applyAlignment="true" applyProtection="true">
      <alignment horizontal="center" vertical="center" wrapText="true"/>
      <protection locked="false"/>
    </xf>
    <xf numFmtId="0" fontId="11" fillId="0" borderId="0" xfId="43" applyFont="true" applyAlignment="true" applyProtection="true">
      <alignment horizontal="left" vertical="center"/>
      <protection locked="false"/>
    </xf>
    <xf numFmtId="0" fontId="12" fillId="0" borderId="0" xfId="43" applyFont="true" applyAlignment="true" applyProtection="true">
      <alignment horizontal="left" vertical="center"/>
      <protection locked="false"/>
    </xf>
    <xf numFmtId="0" fontId="10" fillId="0" borderId="1" xfId="43" applyFont="true" applyBorder="true" applyAlignment="true">
      <alignment horizontal="center" vertical="center" wrapText="true"/>
    </xf>
    <xf numFmtId="0" fontId="10" fillId="5" borderId="1" xfId="43" applyFont="true" applyFill="true" applyBorder="true" applyAlignment="true">
      <alignment horizontal="center" vertical="center" wrapText="true"/>
    </xf>
    <xf numFmtId="0" fontId="10" fillId="0" borderId="5" xfId="43" applyFont="true" applyBorder="true" applyAlignment="true">
      <alignment horizontal="center" vertical="center" wrapText="true"/>
    </xf>
    <xf numFmtId="0" fontId="10" fillId="0" borderId="9" xfId="43" applyFont="true" applyBorder="true" applyAlignment="true">
      <alignment horizontal="center" vertical="center" wrapText="true"/>
    </xf>
    <xf numFmtId="0" fontId="0" fillId="0" borderId="1" xfId="43" applyBorder="true">
      <alignment vertical="center"/>
    </xf>
    <xf numFmtId="0" fontId="0" fillId="0" borderId="3" xfId="43" applyBorder="true" applyProtection="true">
      <alignment vertical="center"/>
      <protection locked="false"/>
    </xf>
    <xf numFmtId="0" fontId="10" fillId="0" borderId="4" xfId="43" applyFont="true" applyBorder="true" applyAlignment="true" applyProtection="true">
      <alignment horizontal="center" vertical="center" wrapText="true"/>
      <protection locked="false"/>
    </xf>
    <xf numFmtId="0" fontId="0" fillId="0" borderId="1" xfId="43" applyBorder="true" applyProtection="true">
      <alignment vertical="center"/>
      <protection locked="false"/>
    </xf>
    <xf numFmtId="0" fontId="0" fillId="4" borderId="1" xfId="43" applyFill="true" applyBorder="true" applyProtection="true">
      <alignment vertical="center"/>
      <protection locked="false"/>
    </xf>
    <xf numFmtId="0" fontId="10" fillId="0" borderId="6" xfId="43" applyFont="true" applyBorder="true" applyAlignment="true">
      <alignment horizontal="center" vertical="center" wrapText="true"/>
    </xf>
    <xf numFmtId="0" fontId="13" fillId="0" borderId="1" xfId="43" applyFont="true" applyBorder="true" applyProtection="true">
      <alignment vertical="center"/>
      <protection locked="false"/>
    </xf>
    <xf numFmtId="0" fontId="2" fillId="0" borderId="0" xfId="0" applyFont="true">
      <alignment vertical="center"/>
    </xf>
    <xf numFmtId="0" fontId="14" fillId="0" borderId="2" xfId="0" applyFont="true" applyBorder="true" applyAlignment="true">
      <alignment horizontal="center" vertical="center"/>
    </xf>
    <xf numFmtId="0" fontId="2" fillId="0" borderId="1" xfId="0" applyFont="true" applyBorder="true" applyAlignment="true">
      <alignment horizontal="justify" vertical="center" wrapText="true"/>
    </xf>
    <xf numFmtId="178" fontId="2" fillId="0" borderId="1" xfId="0" applyNumberFormat="true" applyFont="true" applyBorder="true" applyAlignment="true">
      <alignment horizontal="justify" vertical="center" wrapText="true"/>
    </xf>
    <xf numFmtId="0" fontId="15" fillId="0" borderId="0" xfId="0" applyFont="true" applyFill="true">
      <alignment vertical="center"/>
    </xf>
    <xf numFmtId="0" fontId="16" fillId="0" borderId="0" xfId="0" applyFont="true" applyFill="true">
      <alignment vertical="center"/>
    </xf>
    <xf numFmtId="0" fontId="17" fillId="0" borderId="2" xfId="0" applyFont="true" applyFill="true" applyBorder="true" applyAlignment="true">
      <alignment horizontal="center" vertical="center"/>
    </xf>
    <xf numFmtId="0" fontId="16" fillId="0" borderId="1" xfId="0" applyFont="true" applyFill="true" applyBorder="true" applyAlignment="true">
      <alignment horizontal="center" vertical="center"/>
    </xf>
    <xf numFmtId="0" fontId="15" fillId="0" borderId="1" xfId="0" applyFont="true" applyFill="true" applyBorder="true" applyAlignment="true">
      <alignment horizontal="center" vertical="center"/>
    </xf>
    <xf numFmtId="0" fontId="15" fillId="0" borderId="1" xfId="0" applyFont="true" applyFill="true" applyBorder="true" applyAlignment="true">
      <alignment horizontal="left" vertical="center"/>
    </xf>
    <xf numFmtId="0" fontId="16" fillId="0" borderId="1" xfId="0" applyFont="true" applyFill="true" applyBorder="true" applyAlignment="true">
      <alignment horizontal="left" vertical="center"/>
    </xf>
    <xf numFmtId="0" fontId="18" fillId="0" borderId="1" xfId="0" applyFont="true" applyFill="true" applyBorder="true" applyAlignment="true">
      <alignment horizontal="center" vertical="center" wrapText="true"/>
    </xf>
    <xf numFmtId="0" fontId="19" fillId="0" borderId="1" xfId="0" applyFont="true" applyFill="true" applyBorder="true" applyAlignment="true">
      <alignment horizontal="center" vertical="center" wrapText="true"/>
    </xf>
    <xf numFmtId="49" fontId="2" fillId="0" borderId="1" xfId="0" applyNumberFormat="true" applyFont="true" applyFill="true" applyBorder="true" applyAlignment="true">
      <alignment horizontal="center" vertical="center" wrapText="true"/>
    </xf>
    <xf numFmtId="0" fontId="16" fillId="0" borderId="1" xfId="0" applyFont="true" applyFill="true" applyBorder="true">
      <alignment vertical="center"/>
    </xf>
    <xf numFmtId="49" fontId="16" fillId="0" borderId="1" xfId="0" applyNumberFormat="true" applyFont="true" applyFill="true" applyBorder="true" applyAlignment="true">
      <alignment horizontal="center" vertical="center"/>
    </xf>
    <xf numFmtId="0" fontId="20" fillId="0" borderId="1" xfId="0" applyFont="true" applyFill="true" applyBorder="true" applyAlignment="true">
      <alignment horizontal="center" vertical="center" wrapText="true"/>
    </xf>
    <xf numFmtId="49" fontId="21" fillId="0" borderId="1" xfId="0" applyNumberFormat="true" applyFont="true" applyFill="true" applyBorder="true" applyAlignment="true">
      <alignment horizontal="center" vertical="center" wrapText="true"/>
    </xf>
    <xf numFmtId="0" fontId="22" fillId="0" borderId="1" xfId="0" applyFont="true" applyFill="true" applyBorder="true">
      <alignment vertical="center"/>
    </xf>
    <xf numFmtId="0" fontId="2" fillId="0" borderId="1" xfId="61" applyFont="true" applyFill="true" applyBorder="true" applyAlignment="true">
      <alignment vertical="center"/>
    </xf>
    <xf numFmtId="178" fontId="16" fillId="0" borderId="1" xfId="0" applyNumberFormat="true" applyFont="true" applyFill="true" applyBorder="true" applyAlignment="true">
      <alignment horizontal="center" vertical="center"/>
    </xf>
    <xf numFmtId="178" fontId="15" fillId="0" borderId="1" xfId="0" applyNumberFormat="true" applyFont="true" applyFill="true" applyBorder="true" applyAlignment="true">
      <alignment horizontal="center" vertical="center"/>
    </xf>
    <xf numFmtId="0" fontId="16" fillId="0" borderId="10" xfId="0" applyFont="true" applyFill="true" applyBorder="true" applyAlignment="true">
      <alignment horizontal="center" vertical="center"/>
    </xf>
    <xf numFmtId="2" fontId="16" fillId="0" borderId="0" xfId="0" applyNumberFormat="true" applyFont="true" applyFill="true">
      <alignment vertical="center"/>
    </xf>
    <xf numFmtId="178" fontId="16" fillId="6" borderId="0" xfId="0" applyNumberFormat="true" applyFont="true" applyFill="true">
      <alignment vertical="center"/>
    </xf>
    <xf numFmtId="2" fontId="16" fillId="6" borderId="0" xfId="0" applyNumberFormat="true" applyFont="true" applyFill="true">
      <alignment vertical="center"/>
    </xf>
    <xf numFmtId="178" fontId="15" fillId="6" borderId="0" xfId="0" applyNumberFormat="true" applyFont="true" applyFill="true">
      <alignment vertical="center"/>
    </xf>
    <xf numFmtId="2" fontId="15" fillId="6" borderId="0" xfId="0" applyNumberFormat="true" applyFont="true" applyFill="true">
      <alignment vertical="center"/>
    </xf>
    <xf numFmtId="0" fontId="15" fillId="0" borderId="0" xfId="0" applyFont="true" applyFill="true" applyBorder="true" applyAlignment="true">
      <alignment horizontal="center" vertical="center"/>
    </xf>
    <xf numFmtId="0" fontId="16" fillId="0" borderId="0" xfId="0" applyFont="true" applyFill="true" applyBorder="true" applyAlignment="true">
      <alignment horizontal="center" vertical="center"/>
    </xf>
    <xf numFmtId="178" fontId="16" fillId="0" borderId="0" xfId="0" applyNumberFormat="true" applyFont="true" applyFill="true">
      <alignment vertical="center"/>
    </xf>
    <xf numFmtId="176" fontId="16" fillId="0" borderId="0" xfId="0" applyNumberFormat="true" applyFont="true" applyFill="true">
      <alignment vertical="center"/>
    </xf>
    <xf numFmtId="0" fontId="15" fillId="0" borderId="0" xfId="0" applyFont="true" applyFill="true" applyBorder="true">
      <alignment vertical="center"/>
    </xf>
    <xf numFmtId="0" fontId="16" fillId="0" borderId="0" xfId="0" applyFont="true" applyFill="true" applyBorder="true">
      <alignment vertical="center"/>
    </xf>
  </cellXfs>
  <cellStyles count="65">
    <cellStyle name="常规" xfId="0" builtinId="0"/>
    <cellStyle name="常规 13" xfId="1"/>
    <cellStyle name="常规 2 8" xfId="2"/>
    <cellStyle name="常规 2 2 2 2 2" xfId="3"/>
    <cellStyle name="常规 2 2 3 2" xfId="4"/>
    <cellStyle name="常规 12" xfId="5"/>
    <cellStyle name="40% - 强调文字颜色 6" xfId="6" builtinId="51"/>
    <cellStyle name="20% - 强调文字颜色 6" xfId="7" builtinId="50"/>
    <cellStyle name="常规 3 9" xfId="8"/>
    <cellStyle name="强调文字颜色 6" xfId="9" builtinId="49"/>
    <cellStyle name="40% - 强调文字颜色 5" xfId="10" builtinId="47"/>
    <cellStyle name="20% - 强调文字颜色 5" xfId="11" builtinId="46"/>
    <cellStyle name="强调文字颜色 5" xfId="12" builtinId="45"/>
    <cellStyle name="40% - 强调文字颜色 4" xfId="13" builtinId="43"/>
    <cellStyle name="标题 3" xfId="14" builtinId="18"/>
    <cellStyle name="解释性文本" xfId="15" builtinId="53"/>
    <cellStyle name="汇总" xfId="16" builtinId="25"/>
    <cellStyle name="百分比" xfId="17" builtinId="5"/>
    <cellStyle name="千位分隔" xfId="18" builtinId="3"/>
    <cellStyle name="标题 2" xfId="19" builtinId="17"/>
    <cellStyle name="货币[0]" xfId="20" builtinId="7"/>
    <cellStyle name="常规 4" xfId="21"/>
    <cellStyle name="60% - 强调文字颜色 4" xfId="22" builtinId="44"/>
    <cellStyle name="警告文本" xfId="23" builtinId="11"/>
    <cellStyle name="20% - 强调文字颜色 2" xfId="24" builtinId="34"/>
    <cellStyle name="常规 5" xfId="25"/>
    <cellStyle name="60% - 强调文字颜色 5" xfId="26" builtinId="48"/>
    <cellStyle name="标题 1" xfId="27" builtinId="16"/>
    <cellStyle name="超链接" xfId="28" builtinId="8"/>
    <cellStyle name="20% - 强调文字颜色 3" xfId="29" builtinId="38"/>
    <cellStyle name="货币" xfId="30" builtinId="4"/>
    <cellStyle name="20% - 强调文字颜色 4" xfId="31" builtinId="42"/>
    <cellStyle name="计算" xfId="32" builtinId="22"/>
    <cellStyle name="已访问的超链接" xfId="33" builtinId="9"/>
    <cellStyle name="千位分隔[0]" xfId="34" builtinId="6"/>
    <cellStyle name="强调文字颜色 4" xfId="35" builtinId="41"/>
    <cellStyle name="40% - 强调文字颜色 3" xfId="36" builtinId="39"/>
    <cellStyle name="常规 6" xfId="37"/>
    <cellStyle name="常规 2 2" xfId="38"/>
    <cellStyle name="60% - 强调文字颜色 6" xfId="39" builtinId="52"/>
    <cellStyle name="输入" xfId="40" builtinId="20"/>
    <cellStyle name="输出" xfId="41" builtinId="21"/>
    <cellStyle name="检查单元格" xfId="42" builtinId="23"/>
    <cellStyle name="常规 2 3" xfId="43"/>
    <cellStyle name="常规 7" xfId="44"/>
    <cellStyle name="链接单元格" xfId="45" builtinId="24"/>
    <cellStyle name="60% - 强调文字颜色 1" xfId="46" builtinId="32"/>
    <cellStyle name="常规 3" xfId="47"/>
    <cellStyle name="60% - 强调文字颜色 3" xfId="48" builtinId="40"/>
    <cellStyle name="注释" xfId="49" builtinId="10"/>
    <cellStyle name="标题" xfId="50" builtinId="15"/>
    <cellStyle name="好" xfId="51" builtinId="26"/>
    <cellStyle name="标题 4" xfId="52" builtinId="19"/>
    <cellStyle name="强调文字颜色 1" xfId="53" builtinId="29"/>
    <cellStyle name="适中" xfId="54" builtinId="28"/>
    <cellStyle name="20% - 强调文字颜色 1" xfId="55" builtinId="30"/>
    <cellStyle name="常规 6 9" xfId="56"/>
    <cellStyle name="差" xfId="57" builtinId="27"/>
    <cellStyle name="强调文字颜色 2" xfId="58" builtinId="33"/>
    <cellStyle name="40% - 强调文字颜色 1" xfId="59" builtinId="31"/>
    <cellStyle name="常规_北横泾泵闸估算1 2" xfId="60"/>
    <cellStyle name="常规 2" xfId="61"/>
    <cellStyle name="60% - 强调文字颜色 2" xfId="62" builtinId="36"/>
    <cellStyle name="40% - 强调文字颜色 2" xfId="63" builtinId="35"/>
    <cellStyle name="强调文字颜色 3" xfId="64" builtinId="37"/>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397861</xdr:colOff>
      <xdr:row>44</xdr:row>
      <xdr:rowOff>123825</xdr:rowOff>
    </xdr:from>
    <xdr:to>
      <xdr:col>18</xdr:col>
      <xdr:colOff>306132</xdr:colOff>
      <xdr:row>66</xdr:row>
      <xdr:rowOff>85725</xdr:rowOff>
    </xdr:to>
    <xdr:pic>
      <xdr:nvPicPr>
        <xdr:cNvPr id="2" name="图片 1"/>
        <xdr:cNvPicPr>
          <a:picLocks noChangeAspect="true"/>
        </xdr:cNvPicPr>
      </xdr:nvPicPr>
      <xdr:blipFill>
        <a:blip r:embed="rId1">
          <a:extLst>
            <a:ext uri="{28A0092B-C50C-407E-A947-70E740481C1C}">
              <a14:useLocalDpi xmlns:a14="http://schemas.microsoft.com/office/drawing/2010/main" val="false"/>
            </a:ext>
          </a:extLst>
        </a:blip>
        <a:stretch>
          <a:fillRect/>
        </a:stretch>
      </xdr:blipFill>
      <xdr:spPr>
        <a:xfrm>
          <a:off x="10654030" y="10890250"/>
          <a:ext cx="4638040" cy="1863725"/>
        </a:xfrm>
        <a:prstGeom prst="rect">
          <a:avLst/>
        </a:prstGeom>
      </xdr:spPr>
    </xdr:pic>
    <xdr:clientData/>
  </xdr:twoCellAnchor>
  <xdr:twoCellAnchor editAs="oneCell">
    <xdr:from>
      <xdr:col>13</xdr:col>
      <xdr:colOff>161925</xdr:colOff>
      <xdr:row>96</xdr:row>
      <xdr:rowOff>85725</xdr:rowOff>
    </xdr:from>
    <xdr:to>
      <xdr:col>20</xdr:col>
      <xdr:colOff>553175</xdr:colOff>
      <xdr:row>102</xdr:row>
      <xdr:rowOff>106881</xdr:rowOff>
    </xdr:to>
    <xdr:pic>
      <xdr:nvPicPr>
        <xdr:cNvPr id="3" name="图片 2"/>
        <xdr:cNvPicPr>
          <a:picLocks noChangeAspect="true"/>
        </xdr:cNvPicPr>
      </xdr:nvPicPr>
      <xdr:blipFill>
        <a:blip r:embed="rId2">
          <a:extLst>
            <a:ext uri="{28A0092B-C50C-407E-A947-70E740481C1C}">
              <a14:useLocalDpi xmlns:a14="http://schemas.microsoft.com/office/drawing/2010/main" val="false"/>
            </a:ext>
          </a:extLst>
        </a:blip>
        <a:stretch>
          <a:fillRect/>
        </a:stretch>
      </xdr:blipFill>
      <xdr:spPr>
        <a:xfrm>
          <a:off x="11769725" y="20373975"/>
          <a:ext cx="5120640" cy="1544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1-&#24037;&#31243;&#27010;&#39044;&#31639;/6-&#27915;&#23665;&#24037;&#31243;/&#27915;&#23665;&#19977;&#26399;&#39044;&#31639;08.10/&#19977;&#26399;&#27010;&#31639;&#20986;&#29256;(&#36865;&#23457;&#31295;20080303)/0810&#21457;&#19977;&#33322;&#38498; &#19977;&#26399;&#33322;&#36947;&#24037;&#31243;&#24635;&#27010;&#31639;&#65288;&#25512;&#24314;&#26041;&#2669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wy1/&#22857;&#36132;&#21306;&#19968;&#20307;&#21270;&#20379;&#27700;&#24037;&#31243;/&#27888;&#26085;&#27893;&#31449;&#21021;&#35774;&#12289;&#26045;&#24037;&#22270;/&#27888;&#26085;&#27010;&#3163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表1 总概算 (推荐方案)"/>
      <sheetName val="#REF!"/>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泰日泵站"/>
    </sheetNames>
    <sheetDataSet>
      <sheetData sheetId="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Q67"/>
  <sheetViews>
    <sheetView workbookViewId="0">
      <pane ySplit="3" topLeftCell="A25" activePane="bottomLeft" state="frozen"/>
      <selection/>
      <selection pane="bottomLeft" activeCell="C34" sqref="C34"/>
    </sheetView>
  </sheetViews>
  <sheetFormatPr defaultColWidth="8.86666666666667" defaultRowHeight="20" customHeight="true"/>
  <cols>
    <col min="1" max="1" width="8" style="71" customWidth="true"/>
    <col min="2" max="2" width="8.86666666666667" style="71"/>
    <col min="3" max="3" width="24.2" style="71" customWidth="true"/>
    <col min="4" max="4" width="6.8" style="71" customWidth="true"/>
    <col min="5" max="5" width="9.66666666666667" style="71" customWidth="true"/>
    <col min="6" max="6" width="11.3333333333333" style="71" customWidth="true"/>
    <col min="7" max="8" width="12.8666666666667" style="71" customWidth="true"/>
    <col min="9" max="9" width="12.6666666666667" style="71" customWidth="true"/>
    <col min="10" max="10" width="17.1333333333333" style="71" customWidth="true"/>
    <col min="11" max="11" width="10.2" style="71" customWidth="true"/>
    <col min="12" max="16384" width="8.86666666666667" style="71"/>
  </cols>
  <sheetData>
    <row r="1" ht="37.5" customHeight="true" spans="1:8">
      <c r="A1" s="72" t="s">
        <v>0</v>
      </c>
      <c r="B1" s="72"/>
      <c r="C1" s="72"/>
      <c r="D1" s="72"/>
      <c r="E1" s="72"/>
      <c r="F1" s="72"/>
      <c r="G1" s="72"/>
      <c r="H1" s="72"/>
    </row>
    <row r="2" customHeight="true" spans="1:9">
      <c r="A2" s="73" t="s">
        <v>1</v>
      </c>
      <c r="B2" s="73" t="s">
        <v>2</v>
      </c>
      <c r="C2" s="73" t="s">
        <v>3</v>
      </c>
      <c r="D2" s="73" t="s">
        <v>4</v>
      </c>
      <c r="E2" s="73" t="s">
        <v>5</v>
      </c>
      <c r="F2" s="73" t="s">
        <v>6</v>
      </c>
      <c r="G2" s="73" t="s">
        <v>7</v>
      </c>
      <c r="H2" s="73" t="s">
        <v>8</v>
      </c>
      <c r="I2" s="88"/>
    </row>
    <row r="3" customHeight="true" spans="1:11">
      <c r="A3" s="74" t="s">
        <v>9</v>
      </c>
      <c r="B3" s="74" t="s">
        <v>10</v>
      </c>
      <c r="C3" s="73"/>
      <c r="D3" s="73"/>
      <c r="E3" s="86"/>
      <c r="F3" s="86"/>
      <c r="G3" s="87" t="e">
        <f>G4+G6+G29+G33+G40+G43</f>
        <v>#REF!</v>
      </c>
      <c r="H3" s="87"/>
      <c r="J3" s="71">
        <v>1287</v>
      </c>
      <c r="K3" s="89" t="e">
        <f>G3/J3</f>
        <v>#REF!</v>
      </c>
    </row>
    <row r="4" customHeight="true" spans="1:11">
      <c r="A4" s="74" t="s">
        <v>11</v>
      </c>
      <c r="B4" s="74"/>
      <c r="C4" s="75" t="s">
        <v>12</v>
      </c>
      <c r="D4" s="74"/>
      <c r="E4" s="87"/>
      <c r="F4" s="87"/>
      <c r="G4" s="87">
        <f>SUM(G5:G5)</f>
        <v>56.15</v>
      </c>
      <c r="H4" s="87"/>
      <c r="J4" s="90" t="e">
        <f>G64</f>
        <v>#REF!</v>
      </c>
      <c r="K4" s="91" t="e">
        <f>J4/J3</f>
        <v>#REF!</v>
      </c>
    </row>
    <row r="5" customHeight="true" spans="1:8">
      <c r="A5" s="73">
        <v>1</v>
      </c>
      <c r="B5" s="73"/>
      <c r="C5" s="76" t="s">
        <v>13</v>
      </c>
      <c r="D5" s="77" t="s">
        <v>14</v>
      </c>
      <c r="E5" s="86">
        <v>1123</v>
      </c>
      <c r="F5" s="86">
        <v>500</v>
      </c>
      <c r="G5" s="86">
        <f>F5*E5/10000</f>
        <v>56.15</v>
      </c>
      <c r="H5" s="86"/>
    </row>
    <row r="6" s="70" customFormat="true" customHeight="true" spans="1:11">
      <c r="A6" s="74" t="s">
        <v>15</v>
      </c>
      <c r="B6" s="74"/>
      <c r="C6" s="75" t="s">
        <v>16</v>
      </c>
      <c r="D6" s="78"/>
      <c r="E6" s="87"/>
      <c r="F6" s="87"/>
      <c r="G6" s="87" t="e">
        <f>SUM(G7,G8,G9,G10,G22)</f>
        <v>#REF!</v>
      </c>
      <c r="H6" s="87"/>
      <c r="J6" s="92" t="e">
        <f>#REF!-'6#7#'!J4</f>
        <v>#REF!</v>
      </c>
      <c r="K6" s="93" t="e">
        <f>J6/J7</f>
        <v>#REF!</v>
      </c>
    </row>
    <row r="7" customHeight="true" spans="1:10">
      <c r="A7" s="79" t="s">
        <v>17</v>
      </c>
      <c r="B7" s="80"/>
      <c r="C7" s="76" t="s">
        <v>18</v>
      </c>
      <c r="D7" s="79" t="s">
        <v>19</v>
      </c>
      <c r="E7" s="86">
        <v>2</v>
      </c>
      <c r="F7" s="86" t="e">
        <f>#REF!</f>
        <v>#REF!</v>
      </c>
      <c r="G7" s="86" t="e">
        <f>E7*F7/10000</f>
        <v>#REF!</v>
      </c>
      <c r="H7" s="86"/>
      <c r="J7" s="71">
        <f>9215-J3</f>
        <v>7928</v>
      </c>
    </row>
    <row r="8" customHeight="true" spans="1:8">
      <c r="A8" s="79" t="s">
        <v>20</v>
      </c>
      <c r="B8" s="80"/>
      <c r="C8" s="76" t="s">
        <v>21</v>
      </c>
      <c r="D8" s="77" t="s">
        <v>19</v>
      </c>
      <c r="E8" s="86">
        <v>2</v>
      </c>
      <c r="F8" s="86" t="e">
        <f>#REF!</f>
        <v>#REF!</v>
      </c>
      <c r="G8" s="86" t="e">
        <f t="shared" ref="G8:G9" si="0">E8*F8/10000</f>
        <v>#REF!</v>
      </c>
      <c r="H8" s="86"/>
    </row>
    <row r="9" customHeight="true" spans="1:8">
      <c r="A9" s="79" t="s">
        <v>22</v>
      </c>
      <c r="B9" s="80"/>
      <c r="C9" s="76" t="s">
        <v>23</v>
      </c>
      <c r="D9" s="79" t="s">
        <v>24</v>
      </c>
      <c r="E9" s="86">
        <v>1</v>
      </c>
      <c r="F9" s="86" t="e">
        <f>#REF!</f>
        <v>#REF!</v>
      </c>
      <c r="G9" s="86" t="e">
        <f t="shared" si="0"/>
        <v>#REF!</v>
      </c>
      <c r="H9" s="86"/>
    </row>
    <row r="10" customHeight="true" spans="1:8">
      <c r="A10" s="81" t="s">
        <v>25</v>
      </c>
      <c r="B10" s="73"/>
      <c r="C10" s="76" t="s">
        <v>26</v>
      </c>
      <c r="D10" s="82"/>
      <c r="E10" s="86"/>
      <c r="F10" s="86"/>
      <c r="G10" s="86" t="e">
        <f>SUM(G11:G21)</f>
        <v>#REF!</v>
      </c>
      <c r="H10" s="86"/>
    </row>
    <row r="11" customHeight="true" spans="1:8">
      <c r="A11" s="79" t="s">
        <v>27</v>
      </c>
      <c r="B11" s="73"/>
      <c r="C11" s="76" t="s">
        <v>28</v>
      </c>
      <c r="D11" s="83" t="s">
        <v>29</v>
      </c>
      <c r="E11" s="86">
        <v>1734</v>
      </c>
      <c r="F11" s="86">
        <v>990.81</v>
      </c>
      <c r="G11" s="86">
        <f t="shared" ref="G11:G21" si="1">E11*F11/10000</f>
        <v>171.81</v>
      </c>
      <c r="H11" s="86"/>
    </row>
    <row r="12" customHeight="true" spans="1:8">
      <c r="A12" s="79" t="s">
        <v>30</v>
      </c>
      <c r="B12" s="73"/>
      <c r="C12" s="76" t="s">
        <v>31</v>
      </c>
      <c r="D12" s="83" t="s">
        <v>29</v>
      </c>
      <c r="E12" s="86">
        <v>5674</v>
      </c>
      <c r="F12" s="86">
        <v>504.62</v>
      </c>
      <c r="G12" s="86">
        <f t="shared" si="1"/>
        <v>286.32</v>
      </c>
      <c r="H12" s="86"/>
    </row>
    <row r="13" customHeight="true" spans="1:8">
      <c r="A13" s="79" t="s">
        <v>32</v>
      </c>
      <c r="B13" s="73"/>
      <c r="C13" s="76" t="s">
        <v>33</v>
      </c>
      <c r="D13" s="83" t="s">
        <v>29</v>
      </c>
      <c r="E13" s="86">
        <v>1761</v>
      </c>
      <c r="F13" s="86">
        <v>347.2</v>
      </c>
      <c r="G13" s="86">
        <f t="shared" si="1"/>
        <v>61.14</v>
      </c>
      <c r="H13" s="86"/>
    </row>
    <row r="14" customHeight="true" spans="1:8">
      <c r="A14" s="79" t="s">
        <v>34</v>
      </c>
      <c r="B14" s="73"/>
      <c r="C14" s="76" t="s">
        <v>35</v>
      </c>
      <c r="D14" s="79" t="s">
        <v>24</v>
      </c>
      <c r="E14" s="86">
        <v>1</v>
      </c>
      <c r="F14" s="86">
        <f>SUM(G11:G13)*0.05*10000</f>
        <v>259635</v>
      </c>
      <c r="G14" s="86">
        <f t="shared" si="1"/>
        <v>25.96</v>
      </c>
      <c r="H14" s="86"/>
    </row>
    <row r="15" customHeight="true" spans="1:8">
      <c r="A15" s="79" t="s">
        <v>36</v>
      </c>
      <c r="B15" s="73"/>
      <c r="C15" s="76" t="s">
        <v>37</v>
      </c>
      <c r="D15" s="83" t="s">
        <v>19</v>
      </c>
      <c r="E15" s="86">
        <v>149</v>
      </c>
      <c r="F15" s="86" t="e">
        <f>#REF!</f>
        <v>#REF!</v>
      </c>
      <c r="G15" s="86" t="e">
        <f t="shared" si="1"/>
        <v>#REF!</v>
      </c>
      <c r="H15" s="86"/>
    </row>
    <row r="16" customHeight="true" spans="1:8">
      <c r="A16" s="79" t="s">
        <v>38</v>
      </c>
      <c r="B16" s="73"/>
      <c r="C16" s="76" t="s">
        <v>39</v>
      </c>
      <c r="D16" s="83" t="s">
        <v>19</v>
      </c>
      <c r="E16" s="86">
        <v>107</v>
      </c>
      <c r="F16" s="86" t="e">
        <f>#REF!</f>
        <v>#REF!</v>
      </c>
      <c r="G16" s="86" t="e">
        <f t="shared" si="1"/>
        <v>#REF!</v>
      </c>
      <c r="H16" s="86"/>
    </row>
    <row r="17" customHeight="true" spans="1:8">
      <c r="A17" s="79" t="s">
        <v>40</v>
      </c>
      <c r="B17" s="73"/>
      <c r="C17" s="76" t="s">
        <v>41</v>
      </c>
      <c r="D17" s="83" t="s">
        <v>19</v>
      </c>
      <c r="E17" s="86">
        <v>2</v>
      </c>
      <c r="F17" s="86" t="e">
        <f>#REF!</f>
        <v>#REF!</v>
      </c>
      <c r="G17" s="86" t="e">
        <f t="shared" si="1"/>
        <v>#REF!</v>
      </c>
      <c r="H17" s="86"/>
    </row>
    <row r="18" customHeight="true" spans="1:8">
      <c r="A18" s="79" t="s">
        <v>42</v>
      </c>
      <c r="B18" s="73"/>
      <c r="C18" s="76" t="s">
        <v>43</v>
      </c>
      <c r="D18" s="83" t="s">
        <v>19</v>
      </c>
      <c r="E18" s="86">
        <v>10</v>
      </c>
      <c r="F18" s="86" t="e">
        <f>#REF!</f>
        <v>#REF!</v>
      </c>
      <c r="G18" s="86" t="e">
        <f t="shared" si="1"/>
        <v>#REF!</v>
      </c>
      <c r="H18" s="86"/>
    </row>
    <row r="19" customHeight="true" spans="1:8">
      <c r="A19" s="79" t="s">
        <v>44</v>
      </c>
      <c r="B19" s="73"/>
      <c r="C19" s="76" t="s">
        <v>45</v>
      </c>
      <c r="D19" s="83" t="s">
        <v>19</v>
      </c>
      <c r="E19" s="86">
        <v>6</v>
      </c>
      <c r="F19" s="86" t="e">
        <f>#REF!</f>
        <v>#REF!</v>
      </c>
      <c r="G19" s="86" t="e">
        <f t="shared" si="1"/>
        <v>#REF!</v>
      </c>
      <c r="H19" s="86"/>
    </row>
    <row r="20" customHeight="true" spans="1:8">
      <c r="A20" s="79" t="s">
        <v>46</v>
      </c>
      <c r="B20" s="73"/>
      <c r="C20" s="76" t="s">
        <v>47</v>
      </c>
      <c r="D20" s="83" t="s">
        <v>19</v>
      </c>
      <c r="E20" s="86">
        <v>16</v>
      </c>
      <c r="F20" s="86" t="e">
        <f>#REF!</f>
        <v>#REF!</v>
      </c>
      <c r="G20" s="86" t="e">
        <f t="shared" si="1"/>
        <v>#REF!</v>
      </c>
      <c r="H20" s="86"/>
    </row>
    <row r="21" customHeight="true" spans="1:8">
      <c r="A21" s="79" t="s">
        <v>48</v>
      </c>
      <c r="B21" s="73"/>
      <c r="C21" s="76" t="s">
        <v>49</v>
      </c>
      <c r="D21" s="83" t="s">
        <v>29</v>
      </c>
      <c r="E21" s="86">
        <v>8550</v>
      </c>
      <c r="F21" s="86" t="e">
        <f>#REF!</f>
        <v>#REF!</v>
      </c>
      <c r="G21" s="86" t="e">
        <f t="shared" si="1"/>
        <v>#REF!</v>
      </c>
      <c r="H21" s="86"/>
    </row>
    <row r="22" customHeight="true" spans="1:8">
      <c r="A22" s="81" t="s">
        <v>50</v>
      </c>
      <c r="B22" s="73"/>
      <c r="C22" s="76" t="s">
        <v>51</v>
      </c>
      <c r="D22" s="82"/>
      <c r="E22" s="86"/>
      <c r="F22" s="86"/>
      <c r="G22" s="86" t="e">
        <f>SUM(G23:G28)</f>
        <v>#REF!</v>
      </c>
      <c r="H22" s="86"/>
    </row>
    <row r="23" customHeight="true" spans="1:8">
      <c r="A23" s="79" t="s">
        <v>27</v>
      </c>
      <c r="B23" s="73"/>
      <c r="C23" s="76" t="s">
        <v>52</v>
      </c>
      <c r="D23" s="83" t="s">
        <v>29</v>
      </c>
      <c r="E23" s="86">
        <v>7338</v>
      </c>
      <c r="F23" s="86" t="e">
        <f>#REF!</f>
        <v>#REF!</v>
      </c>
      <c r="G23" s="86" t="e">
        <f>E23*F23/10000</f>
        <v>#REF!</v>
      </c>
      <c r="H23" s="86"/>
    </row>
    <row r="24" customHeight="true" spans="1:8">
      <c r="A24" s="79" t="s">
        <v>30</v>
      </c>
      <c r="B24" s="73"/>
      <c r="C24" s="76" t="s">
        <v>53</v>
      </c>
      <c r="D24" s="83" t="s">
        <v>29</v>
      </c>
      <c r="E24" s="86">
        <v>2030</v>
      </c>
      <c r="F24" s="86" t="e">
        <f>#REF!</f>
        <v>#REF!</v>
      </c>
      <c r="G24" s="86" t="e">
        <f t="shared" ref="G24:G32" si="2">E24*F24/10000</f>
        <v>#REF!</v>
      </c>
      <c r="H24" s="86"/>
    </row>
    <row r="25" customHeight="true" spans="1:8">
      <c r="A25" s="79" t="s">
        <v>32</v>
      </c>
      <c r="B25" s="73"/>
      <c r="C25" s="76" t="s">
        <v>54</v>
      </c>
      <c r="D25" s="83" t="s">
        <v>19</v>
      </c>
      <c r="E25" s="86">
        <v>2</v>
      </c>
      <c r="F25" s="86" t="e">
        <f>#REF!</f>
        <v>#REF!</v>
      </c>
      <c r="G25" s="86" t="e">
        <f t="shared" si="2"/>
        <v>#REF!</v>
      </c>
      <c r="H25" s="86"/>
    </row>
    <row r="26" customHeight="true" spans="1:8">
      <c r="A26" s="79" t="s">
        <v>34</v>
      </c>
      <c r="B26" s="73"/>
      <c r="C26" s="76" t="s">
        <v>55</v>
      </c>
      <c r="D26" s="82" t="s">
        <v>19</v>
      </c>
      <c r="E26" s="86">
        <v>6</v>
      </c>
      <c r="F26" s="86" t="e">
        <f>#REF!</f>
        <v>#REF!</v>
      </c>
      <c r="G26" s="86" t="e">
        <f t="shared" si="2"/>
        <v>#REF!</v>
      </c>
      <c r="H26" s="86"/>
    </row>
    <row r="27" customHeight="true" spans="1:8">
      <c r="A27" s="79" t="s">
        <v>36</v>
      </c>
      <c r="B27" s="73"/>
      <c r="C27" s="76" t="s">
        <v>56</v>
      </c>
      <c r="D27" s="82" t="s">
        <v>19</v>
      </c>
      <c r="E27" s="86">
        <v>294</v>
      </c>
      <c r="F27" s="86" t="e">
        <f>#REF!</f>
        <v>#REF!</v>
      </c>
      <c r="G27" s="86" t="e">
        <f t="shared" si="2"/>
        <v>#REF!</v>
      </c>
      <c r="H27" s="86"/>
    </row>
    <row r="28" customHeight="true" spans="1:8">
      <c r="A28" s="79" t="s">
        <v>38</v>
      </c>
      <c r="B28" s="73"/>
      <c r="C28" s="76" t="s">
        <v>57</v>
      </c>
      <c r="D28" s="82" t="s">
        <v>19</v>
      </c>
      <c r="E28" s="86">
        <v>15</v>
      </c>
      <c r="F28" s="86" t="e">
        <f>#REF!</f>
        <v>#REF!</v>
      </c>
      <c r="G28" s="86" t="e">
        <f t="shared" si="2"/>
        <v>#REF!</v>
      </c>
      <c r="H28" s="86"/>
    </row>
    <row r="29" s="70" customFormat="true" customHeight="true" spans="1:8">
      <c r="A29" s="74" t="s">
        <v>58</v>
      </c>
      <c r="B29" s="74"/>
      <c r="C29" s="75" t="s">
        <v>59</v>
      </c>
      <c r="D29" s="74"/>
      <c r="E29" s="87"/>
      <c r="F29" s="87"/>
      <c r="G29" s="87" t="e">
        <f>SUM(G30:G32)</f>
        <v>#REF!</v>
      </c>
      <c r="H29" s="87"/>
    </row>
    <row r="30" customHeight="true" spans="1:8">
      <c r="A30" s="81" t="s">
        <v>17</v>
      </c>
      <c r="B30" s="73"/>
      <c r="C30" s="76" t="s">
        <v>60</v>
      </c>
      <c r="D30" s="82" t="s">
        <v>61</v>
      </c>
      <c r="E30" s="86">
        <f>(2801*3+8474*2.5)*0.3</f>
        <v>8876.4</v>
      </c>
      <c r="F30" s="86">
        <f>121.79/2</f>
        <v>60.9</v>
      </c>
      <c r="G30" s="86">
        <f t="shared" si="2"/>
        <v>54.06</v>
      </c>
      <c r="H30" s="86"/>
    </row>
    <row r="31" customHeight="true" spans="1:8">
      <c r="A31" s="81" t="s">
        <v>20</v>
      </c>
      <c r="B31" s="73"/>
      <c r="C31" s="76" t="s">
        <v>62</v>
      </c>
      <c r="D31" s="73" t="s">
        <v>19</v>
      </c>
      <c r="E31" s="86">
        <v>1</v>
      </c>
      <c r="F31" s="86">
        <f>1000*18*5.6</f>
        <v>100800</v>
      </c>
      <c r="G31" s="86">
        <f t="shared" si="2"/>
        <v>10.08</v>
      </c>
      <c r="H31" s="86"/>
    </row>
    <row r="32" customHeight="true" spans="1:8">
      <c r="A32" s="81" t="s">
        <v>22</v>
      </c>
      <c r="B32" s="73"/>
      <c r="C32" s="76" t="s">
        <v>63</v>
      </c>
      <c r="D32" s="73" t="s">
        <v>19</v>
      </c>
      <c r="E32" s="86">
        <v>2</v>
      </c>
      <c r="F32" s="86" t="e">
        <f>(#REF!+#REF!)/2</f>
        <v>#REF!</v>
      </c>
      <c r="G32" s="86" t="e">
        <f t="shared" si="2"/>
        <v>#REF!</v>
      </c>
      <c r="H32" s="86"/>
    </row>
    <row r="33" s="70" customFormat="true" customHeight="true" spans="1:8">
      <c r="A33" s="74" t="s">
        <v>64</v>
      </c>
      <c r="B33" s="74"/>
      <c r="C33" s="75" t="s">
        <v>65</v>
      </c>
      <c r="D33" s="74"/>
      <c r="E33" s="87"/>
      <c r="F33" s="87"/>
      <c r="G33" s="87" t="e">
        <f>SUM(G34:G36)</f>
        <v>#REF!</v>
      </c>
      <c r="H33" s="87"/>
    </row>
    <row r="34" customHeight="true" spans="1:8">
      <c r="A34" s="81" t="s">
        <v>17</v>
      </c>
      <c r="B34" s="73"/>
      <c r="C34" s="76" t="s">
        <v>66</v>
      </c>
      <c r="D34" s="73" t="s">
        <v>14</v>
      </c>
      <c r="E34" s="86">
        <v>22</v>
      </c>
      <c r="F34" s="86">
        <v>18000</v>
      </c>
      <c r="G34" s="86">
        <f>E34*F34/10000</f>
        <v>39.6</v>
      </c>
      <c r="H34" s="86"/>
    </row>
    <row r="35" customHeight="true" spans="1:8">
      <c r="A35" s="81" t="s">
        <v>20</v>
      </c>
      <c r="B35" s="73"/>
      <c r="C35" s="76" t="s">
        <v>67</v>
      </c>
      <c r="D35" s="73" t="s">
        <v>29</v>
      </c>
      <c r="E35" s="86">
        <v>300</v>
      </c>
      <c r="F35" s="86" t="e">
        <f>#REF!</f>
        <v>#REF!</v>
      </c>
      <c r="G35" s="86" t="e">
        <f>E35*F35/10000</f>
        <v>#REF!</v>
      </c>
      <c r="H35" s="86"/>
    </row>
    <row r="36" customHeight="true" spans="1:8">
      <c r="A36" s="81" t="s">
        <v>22</v>
      </c>
      <c r="B36" s="76"/>
      <c r="C36" s="76" t="s">
        <v>68</v>
      </c>
      <c r="D36" s="73"/>
      <c r="E36" s="86"/>
      <c r="F36" s="86"/>
      <c r="G36" s="86" t="e">
        <f>SUM(G37:G39)</f>
        <v>#REF!</v>
      </c>
      <c r="H36" s="86"/>
    </row>
    <row r="37" customHeight="true" spans="1:8">
      <c r="A37" s="79" t="s">
        <v>27</v>
      </c>
      <c r="B37" s="73"/>
      <c r="C37" s="76" t="s">
        <v>69</v>
      </c>
      <c r="D37" s="82" t="s">
        <v>61</v>
      </c>
      <c r="E37" s="86" t="e">
        <f>#REF!</f>
        <v>#REF!</v>
      </c>
      <c r="F37" s="86" t="e">
        <f>#REF!</f>
        <v>#REF!</v>
      </c>
      <c r="G37" s="86" t="e">
        <f>E37*F37/10000</f>
        <v>#REF!</v>
      </c>
      <c r="H37" s="86"/>
    </row>
    <row r="38" customHeight="true" spans="1:8">
      <c r="A38" s="79" t="s">
        <v>30</v>
      </c>
      <c r="B38" s="73"/>
      <c r="C38" s="76" t="s">
        <v>70</v>
      </c>
      <c r="D38" s="82" t="s">
        <v>24</v>
      </c>
      <c r="E38" s="86" t="e">
        <f>#REF!</f>
        <v>#REF!</v>
      </c>
      <c r="F38" s="86" t="e">
        <f>#REF!</f>
        <v>#REF!</v>
      </c>
      <c r="G38" s="86" t="e">
        <f>E38*F38/10000</f>
        <v>#REF!</v>
      </c>
      <c r="H38" s="86"/>
    </row>
    <row r="39" customHeight="true" spans="1:8">
      <c r="A39" s="79" t="s">
        <v>32</v>
      </c>
      <c r="B39" s="73"/>
      <c r="C39" s="76" t="s">
        <v>71</v>
      </c>
      <c r="D39" s="82" t="s">
        <v>24</v>
      </c>
      <c r="E39" s="86" t="e">
        <f>#REF!</f>
        <v>#REF!</v>
      </c>
      <c r="F39" s="86" t="e">
        <f>#REF!</f>
        <v>#REF!</v>
      </c>
      <c r="G39" s="86" t="e">
        <f>E39*F39/10000</f>
        <v>#REF!</v>
      </c>
      <c r="H39" s="86"/>
    </row>
    <row r="40" s="70" customFormat="true" customHeight="true" spans="1:17">
      <c r="A40" s="74" t="s">
        <v>72</v>
      </c>
      <c r="B40" s="74"/>
      <c r="C40" s="75" t="s">
        <v>73</v>
      </c>
      <c r="D40" s="74"/>
      <c r="E40" s="87"/>
      <c r="F40" s="87"/>
      <c r="G40" s="87" t="e">
        <f>SUM(G41:G42)</f>
        <v>#REF!</v>
      </c>
      <c r="H40" s="87"/>
      <c r="J40" s="94"/>
      <c r="K40" s="94"/>
      <c r="L40" s="94"/>
      <c r="M40" s="94"/>
      <c r="N40" s="94"/>
      <c r="O40" s="94"/>
      <c r="P40" s="98"/>
      <c r="Q40" s="98"/>
    </row>
    <row r="41" customHeight="true" spans="1:17">
      <c r="A41" s="81" t="s">
        <v>17</v>
      </c>
      <c r="B41" s="73"/>
      <c r="C41" s="76" t="s">
        <v>74</v>
      </c>
      <c r="D41" s="73" t="s">
        <v>29</v>
      </c>
      <c r="E41" s="86" t="e">
        <f>#REF!</f>
        <v>#REF!</v>
      </c>
      <c r="F41" s="86">
        <v>65.15</v>
      </c>
      <c r="G41" s="86" t="e">
        <f>E41*F41/10000</f>
        <v>#REF!</v>
      </c>
      <c r="H41" s="86"/>
      <c r="J41" s="95"/>
      <c r="K41" s="95"/>
      <c r="L41" s="95"/>
      <c r="M41" s="95"/>
      <c r="N41" s="95"/>
      <c r="O41" s="95"/>
      <c r="P41" s="99"/>
      <c r="Q41" s="99"/>
    </row>
    <row r="42" customHeight="true" spans="1:17">
      <c r="A42" s="81" t="s">
        <v>20</v>
      </c>
      <c r="B42" s="73"/>
      <c r="C42" s="76" t="s">
        <v>75</v>
      </c>
      <c r="D42" s="73" t="s">
        <v>76</v>
      </c>
      <c r="E42" s="86">
        <v>2</v>
      </c>
      <c r="F42" s="86" t="e">
        <f>#REF!</f>
        <v>#REF!</v>
      </c>
      <c r="G42" s="86" t="e">
        <f>E42*F42/10000</f>
        <v>#REF!</v>
      </c>
      <c r="H42" s="86"/>
      <c r="J42" s="95"/>
      <c r="K42" s="95"/>
      <c r="L42" s="95"/>
      <c r="M42" s="95"/>
      <c r="N42" s="95"/>
      <c r="O42" s="95"/>
      <c r="P42" s="99"/>
      <c r="Q42" s="99"/>
    </row>
    <row r="43" s="70" customFormat="true" hidden="true" customHeight="true" spans="1:17">
      <c r="A43" s="74" t="s">
        <v>77</v>
      </c>
      <c r="B43" s="74"/>
      <c r="C43" s="75" t="s">
        <v>78</v>
      </c>
      <c r="D43" s="74"/>
      <c r="E43" s="87"/>
      <c r="F43" s="87"/>
      <c r="G43" s="87">
        <f>SUM(G44:G45)</f>
        <v>0</v>
      </c>
      <c r="H43" s="87"/>
      <c r="J43" s="94"/>
      <c r="K43" s="94"/>
      <c r="L43" s="94"/>
      <c r="M43" s="94"/>
      <c r="N43" s="94"/>
      <c r="O43" s="94"/>
      <c r="P43" s="98"/>
      <c r="Q43" s="98"/>
    </row>
    <row r="44" hidden="true" customHeight="true" spans="1:17">
      <c r="A44" s="81" t="s">
        <v>17</v>
      </c>
      <c r="B44" s="73"/>
      <c r="C44" s="76" t="s">
        <v>79</v>
      </c>
      <c r="D44" s="82" t="s">
        <v>61</v>
      </c>
      <c r="E44" s="86"/>
      <c r="F44" s="86"/>
      <c r="G44" s="86">
        <f>E44*F44/10000</f>
        <v>0</v>
      </c>
      <c r="H44" s="86"/>
      <c r="J44" s="95"/>
      <c r="K44" s="95"/>
      <c r="L44" s="95"/>
      <c r="M44" s="95"/>
      <c r="N44" s="95"/>
      <c r="O44" s="95"/>
      <c r="P44" s="99"/>
      <c r="Q44" s="99"/>
    </row>
    <row r="45" hidden="true" customHeight="true" spans="1:17">
      <c r="A45" s="81" t="s">
        <v>20</v>
      </c>
      <c r="B45" s="73"/>
      <c r="C45" s="76" t="s">
        <v>80</v>
      </c>
      <c r="D45" s="82" t="s">
        <v>61</v>
      </c>
      <c r="E45" s="86"/>
      <c r="F45" s="86"/>
      <c r="G45" s="86">
        <f>E45*F45/10000</f>
        <v>0</v>
      </c>
      <c r="H45" s="86"/>
      <c r="J45" s="95"/>
      <c r="K45" s="95"/>
      <c r="L45" s="95"/>
      <c r="M45" s="95"/>
      <c r="N45" s="95"/>
      <c r="O45" s="95"/>
      <c r="P45" s="99"/>
      <c r="Q45" s="99"/>
    </row>
    <row r="46" hidden="true" customHeight="true" spans="1:17">
      <c r="A46" s="81" t="s">
        <v>22</v>
      </c>
      <c r="B46" s="73"/>
      <c r="C46" s="76" t="s">
        <v>81</v>
      </c>
      <c r="D46" s="77" t="s">
        <v>24</v>
      </c>
      <c r="E46" s="86"/>
      <c r="F46" s="86"/>
      <c r="G46" s="86">
        <f>E46*F46/10000</f>
        <v>0</v>
      </c>
      <c r="H46" s="86"/>
      <c r="J46" s="95"/>
      <c r="K46" s="95"/>
      <c r="L46" s="95"/>
      <c r="M46" s="95"/>
      <c r="N46" s="95"/>
      <c r="O46" s="95"/>
      <c r="P46" s="99"/>
      <c r="Q46" s="99"/>
    </row>
    <row r="47" customHeight="true" spans="1:9">
      <c r="A47" s="74" t="s">
        <v>82</v>
      </c>
      <c r="B47" s="74" t="s">
        <v>83</v>
      </c>
      <c r="C47" s="75"/>
      <c r="D47" s="74"/>
      <c r="E47" s="87"/>
      <c r="F47" s="87"/>
      <c r="G47" s="87">
        <f>SUM(G48:G48)</f>
        <v>0</v>
      </c>
      <c r="H47" s="87"/>
      <c r="I47" s="96" t="e">
        <f>G47+G3</f>
        <v>#REF!</v>
      </c>
    </row>
    <row r="48" customHeight="true" spans="1:10">
      <c r="A48" s="73"/>
      <c r="B48" s="73"/>
      <c r="C48" s="76"/>
      <c r="D48" s="73"/>
      <c r="E48" s="86"/>
      <c r="F48" s="86"/>
      <c r="G48" s="86"/>
      <c r="H48" s="86"/>
      <c r="J48" s="71" t="s">
        <v>84</v>
      </c>
    </row>
    <row r="49" customHeight="true" spans="1:11">
      <c r="A49" s="74" t="s">
        <v>85</v>
      </c>
      <c r="B49" s="74" t="s">
        <v>86</v>
      </c>
      <c r="C49" s="75"/>
      <c r="D49" s="74"/>
      <c r="E49" s="87"/>
      <c r="F49" s="87"/>
      <c r="G49" s="87" t="e">
        <f>G3*0.064</f>
        <v>#REF!</v>
      </c>
      <c r="H49" s="87"/>
      <c r="I49" s="71" t="e">
        <f>2000*0.08+0.03*(G3+G47-2000)</f>
        <v>#REF!</v>
      </c>
      <c r="J49" s="97" t="e">
        <f>G49-I49</f>
        <v>#REF!</v>
      </c>
      <c r="K49" s="71" t="e">
        <f>J49/G49</f>
        <v>#REF!</v>
      </c>
    </row>
    <row r="50" hidden="true" customHeight="true" spans="1:9">
      <c r="A50" s="83" t="s">
        <v>87</v>
      </c>
      <c r="B50" s="84"/>
      <c r="C50" s="84" t="s">
        <v>88</v>
      </c>
      <c r="D50" s="74"/>
      <c r="E50" s="87"/>
      <c r="F50" s="87"/>
      <c r="G50" s="86"/>
      <c r="H50" s="86"/>
      <c r="I50" s="89" t="e">
        <f>#REF!</f>
        <v>#REF!</v>
      </c>
    </row>
    <row r="51" hidden="true" customHeight="true" spans="1:8">
      <c r="A51" s="83" t="s">
        <v>89</v>
      </c>
      <c r="B51" s="85"/>
      <c r="C51" s="85" t="s">
        <v>90</v>
      </c>
      <c r="D51" s="74"/>
      <c r="E51" s="87"/>
      <c r="F51" s="87"/>
      <c r="G51" s="86"/>
      <c r="H51" s="86"/>
    </row>
    <row r="52" hidden="true" customHeight="true" spans="1:9">
      <c r="A52" s="83" t="s">
        <v>17</v>
      </c>
      <c r="B52" s="85"/>
      <c r="C52" s="85" t="s">
        <v>90</v>
      </c>
      <c r="D52" s="74"/>
      <c r="E52" s="87"/>
      <c r="F52" s="87"/>
      <c r="G52" s="86"/>
      <c r="H52" s="86"/>
      <c r="I52" s="71" t="e">
        <f>造价服务及招标代理!P12+造价服务及招标代理!P14+造价服务及招标代理!P16+造价服务及招标代理!P18</f>
        <v>#REF!</v>
      </c>
    </row>
    <row r="53" hidden="true" customHeight="true" spans="1:8">
      <c r="A53" s="83" t="s">
        <v>20</v>
      </c>
      <c r="B53" s="85"/>
      <c r="C53" s="85" t="s">
        <v>91</v>
      </c>
      <c r="D53" s="74"/>
      <c r="E53" s="87"/>
      <c r="F53" s="87"/>
      <c r="G53" s="86"/>
      <c r="H53" s="86"/>
    </row>
    <row r="54" hidden="true" customHeight="true" spans="1:8">
      <c r="A54" s="83" t="s">
        <v>92</v>
      </c>
      <c r="B54" s="85"/>
      <c r="C54" s="85" t="s">
        <v>93</v>
      </c>
      <c r="D54" s="74"/>
      <c r="E54" s="87"/>
      <c r="F54" s="87"/>
      <c r="G54" s="86"/>
      <c r="H54" s="86"/>
    </row>
    <row r="55" hidden="true" customHeight="true" spans="1:13">
      <c r="A55" s="83" t="s">
        <v>17</v>
      </c>
      <c r="B55" s="85"/>
      <c r="C55" s="85" t="s">
        <v>94</v>
      </c>
      <c r="D55" s="74"/>
      <c r="E55" s="87"/>
      <c r="F55" s="87"/>
      <c r="G55" s="86"/>
      <c r="H55" s="86"/>
      <c r="M55" s="96"/>
    </row>
    <row r="56" hidden="true" customHeight="true" spans="1:9">
      <c r="A56" s="83" t="s">
        <v>20</v>
      </c>
      <c r="B56" s="85"/>
      <c r="C56" s="85" t="s">
        <v>95</v>
      </c>
      <c r="D56" s="74"/>
      <c r="E56" s="87"/>
      <c r="F56" s="87"/>
      <c r="G56" s="86"/>
      <c r="H56" s="86"/>
      <c r="I56" s="89" t="e">
        <f>#REF!</f>
        <v>#REF!</v>
      </c>
    </row>
    <row r="57" hidden="true" customHeight="true" spans="1:8">
      <c r="A57" s="83" t="s">
        <v>96</v>
      </c>
      <c r="B57" s="85"/>
      <c r="C57" s="85" t="s">
        <v>97</v>
      </c>
      <c r="D57" s="74"/>
      <c r="E57" s="87"/>
      <c r="F57" s="87"/>
      <c r="G57" s="86"/>
      <c r="H57" s="86"/>
    </row>
    <row r="58" hidden="true" customHeight="true" spans="1:9">
      <c r="A58" s="83">
        <v>1</v>
      </c>
      <c r="B58" s="85"/>
      <c r="C58" s="85" t="s">
        <v>98</v>
      </c>
      <c r="D58" s="74"/>
      <c r="E58" s="87"/>
      <c r="F58" s="87"/>
      <c r="G58" s="86"/>
      <c r="H58" s="86"/>
      <c r="I58" s="89" t="e">
        <f>#REF!</f>
        <v>#REF!</v>
      </c>
    </row>
    <row r="59" hidden="true" customHeight="true" spans="1:8">
      <c r="A59" s="83">
        <v>2</v>
      </c>
      <c r="B59" s="85"/>
      <c r="C59" s="85" t="s">
        <v>99</v>
      </c>
      <c r="D59" s="74"/>
      <c r="E59" s="87"/>
      <c r="F59" s="87"/>
      <c r="G59" s="86"/>
      <c r="H59" s="86"/>
    </row>
    <row r="60" hidden="true" customHeight="true" spans="1:8">
      <c r="A60" s="83" t="s">
        <v>100</v>
      </c>
      <c r="B60" s="85"/>
      <c r="C60" s="85" t="s">
        <v>101</v>
      </c>
      <c r="D60" s="74"/>
      <c r="E60" s="87"/>
      <c r="F60" s="87"/>
      <c r="G60" s="86"/>
      <c r="H60" s="86"/>
    </row>
    <row r="61" hidden="true" customHeight="true" spans="1:8">
      <c r="A61" s="83" t="s">
        <v>102</v>
      </c>
      <c r="B61" s="85"/>
      <c r="C61" s="85" t="s">
        <v>103</v>
      </c>
      <c r="D61" s="74"/>
      <c r="E61" s="87"/>
      <c r="F61" s="87"/>
      <c r="G61" s="86"/>
      <c r="H61" s="86"/>
    </row>
    <row r="62" hidden="true" customHeight="true" spans="1:8">
      <c r="A62" s="83" t="s">
        <v>104</v>
      </c>
      <c r="B62" s="85"/>
      <c r="C62" s="85" t="s">
        <v>105</v>
      </c>
      <c r="D62" s="74"/>
      <c r="E62" s="87"/>
      <c r="F62" s="87"/>
      <c r="G62" s="86"/>
      <c r="H62" s="86"/>
    </row>
    <row r="63" customHeight="true" spans="1:8">
      <c r="A63" s="83"/>
      <c r="B63" s="85"/>
      <c r="C63" s="85"/>
      <c r="D63" s="74"/>
      <c r="E63" s="87"/>
      <c r="F63" s="87"/>
      <c r="G63" s="86"/>
      <c r="H63" s="86"/>
    </row>
    <row r="64" s="70" customFormat="true" customHeight="true" spans="1:9">
      <c r="A64" s="74" t="s">
        <v>106</v>
      </c>
      <c r="B64" s="74" t="s">
        <v>107</v>
      </c>
      <c r="C64" s="75"/>
      <c r="D64" s="74" t="s">
        <v>14</v>
      </c>
      <c r="E64" s="87">
        <v>1287</v>
      </c>
      <c r="F64" s="87" t="e">
        <f>G64/E64</f>
        <v>#REF!</v>
      </c>
      <c r="G64" s="87" t="e">
        <f>G49+G3+G47</f>
        <v>#REF!</v>
      </c>
      <c r="H64" s="87"/>
      <c r="I64" s="70" t="e">
        <f>G64/G66</f>
        <v>#REF!</v>
      </c>
    </row>
    <row r="66" customHeight="true" spans="7:9">
      <c r="G66" s="71">
        <v>9215</v>
      </c>
      <c r="I66" s="89" t="e">
        <f>G64*0.9</f>
        <v>#REF!</v>
      </c>
    </row>
    <row r="67" customHeight="true" spans="7:9">
      <c r="G67" s="71" t="e">
        <f>G64/G66</f>
        <v>#REF!</v>
      </c>
      <c r="I67" s="89" t="e">
        <f>G64-I66</f>
        <v>#REF!</v>
      </c>
    </row>
  </sheetData>
  <mergeCells count="1">
    <mergeCell ref="A1:H1"/>
  </mergeCells>
  <pageMargins left="0.707638888888889" right="0.707638888888889" top="0.747916666666667" bottom="0.747916666666667" header="0.313888888888889" footer="0.313888888888889"/>
  <pageSetup paperSize="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workbookViewId="0">
      <selection activeCell="C28" sqref="C28"/>
    </sheetView>
  </sheetViews>
  <sheetFormatPr defaultColWidth="9" defaultRowHeight="20.1" customHeight="true" outlineLevelCol="1"/>
  <cols>
    <col min="1" max="1" width="29.2" style="66" customWidth="true"/>
    <col min="2" max="2" width="30" style="66" customWidth="true"/>
    <col min="3" max="256" width="9" style="66"/>
    <col min="257" max="257" width="29.2" style="66" customWidth="true"/>
    <col min="258" max="258" width="30" style="66" customWidth="true"/>
    <col min="259" max="512" width="9" style="66"/>
    <col min="513" max="513" width="29.2" style="66" customWidth="true"/>
    <col min="514" max="514" width="30" style="66" customWidth="true"/>
    <col min="515" max="768" width="9" style="66"/>
    <col min="769" max="769" width="29.2" style="66" customWidth="true"/>
    <col min="770" max="770" width="30" style="66" customWidth="true"/>
    <col min="771" max="1024" width="9" style="66"/>
    <col min="1025" max="1025" width="29.2" style="66" customWidth="true"/>
    <col min="1026" max="1026" width="30" style="66" customWidth="true"/>
    <col min="1027" max="1280" width="9" style="66"/>
    <col min="1281" max="1281" width="29.2" style="66" customWidth="true"/>
    <col min="1282" max="1282" width="30" style="66" customWidth="true"/>
    <col min="1283" max="1536" width="9" style="66"/>
    <col min="1537" max="1537" width="29.2" style="66" customWidth="true"/>
    <col min="1538" max="1538" width="30" style="66" customWidth="true"/>
    <col min="1539" max="1792" width="9" style="66"/>
    <col min="1793" max="1793" width="29.2" style="66" customWidth="true"/>
    <col min="1794" max="1794" width="30" style="66" customWidth="true"/>
    <col min="1795" max="2048" width="9" style="66"/>
    <col min="2049" max="2049" width="29.2" style="66" customWidth="true"/>
    <col min="2050" max="2050" width="30" style="66" customWidth="true"/>
    <col min="2051" max="2304" width="9" style="66"/>
    <col min="2305" max="2305" width="29.2" style="66" customWidth="true"/>
    <col min="2306" max="2306" width="30" style="66" customWidth="true"/>
    <col min="2307" max="2560" width="9" style="66"/>
    <col min="2561" max="2561" width="29.2" style="66" customWidth="true"/>
    <col min="2562" max="2562" width="30" style="66" customWidth="true"/>
    <col min="2563" max="2816" width="9" style="66"/>
    <col min="2817" max="2817" width="29.2" style="66" customWidth="true"/>
    <col min="2818" max="2818" width="30" style="66" customWidth="true"/>
    <col min="2819" max="3072" width="9" style="66"/>
    <col min="3073" max="3073" width="29.2" style="66" customWidth="true"/>
    <col min="3074" max="3074" width="30" style="66" customWidth="true"/>
    <col min="3075" max="3328" width="9" style="66"/>
    <col min="3329" max="3329" width="29.2" style="66" customWidth="true"/>
    <col min="3330" max="3330" width="30" style="66" customWidth="true"/>
    <col min="3331" max="3584" width="9" style="66"/>
    <col min="3585" max="3585" width="29.2" style="66" customWidth="true"/>
    <col min="3586" max="3586" width="30" style="66" customWidth="true"/>
    <col min="3587" max="3840" width="9" style="66"/>
    <col min="3841" max="3841" width="29.2" style="66" customWidth="true"/>
    <col min="3842" max="3842" width="30" style="66" customWidth="true"/>
    <col min="3843" max="4096" width="9" style="66"/>
    <col min="4097" max="4097" width="29.2" style="66" customWidth="true"/>
    <col min="4098" max="4098" width="30" style="66" customWidth="true"/>
    <col min="4099" max="4352" width="9" style="66"/>
    <col min="4353" max="4353" width="29.2" style="66" customWidth="true"/>
    <col min="4354" max="4354" width="30" style="66" customWidth="true"/>
    <col min="4355" max="4608" width="9" style="66"/>
    <col min="4609" max="4609" width="29.2" style="66" customWidth="true"/>
    <col min="4610" max="4610" width="30" style="66" customWidth="true"/>
    <col min="4611" max="4864" width="9" style="66"/>
    <col min="4865" max="4865" width="29.2" style="66" customWidth="true"/>
    <col min="4866" max="4866" width="30" style="66" customWidth="true"/>
    <col min="4867" max="5120" width="9" style="66"/>
    <col min="5121" max="5121" width="29.2" style="66" customWidth="true"/>
    <col min="5122" max="5122" width="30" style="66" customWidth="true"/>
    <col min="5123" max="5376" width="9" style="66"/>
    <col min="5377" max="5377" width="29.2" style="66" customWidth="true"/>
    <col min="5378" max="5378" width="30" style="66" customWidth="true"/>
    <col min="5379" max="5632" width="9" style="66"/>
    <col min="5633" max="5633" width="29.2" style="66" customWidth="true"/>
    <col min="5634" max="5634" width="30" style="66" customWidth="true"/>
    <col min="5635" max="5888" width="9" style="66"/>
    <col min="5889" max="5889" width="29.2" style="66" customWidth="true"/>
    <col min="5890" max="5890" width="30" style="66" customWidth="true"/>
    <col min="5891" max="6144" width="9" style="66"/>
    <col min="6145" max="6145" width="29.2" style="66" customWidth="true"/>
    <col min="6146" max="6146" width="30" style="66" customWidth="true"/>
    <col min="6147" max="6400" width="9" style="66"/>
    <col min="6401" max="6401" width="29.2" style="66" customWidth="true"/>
    <col min="6402" max="6402" width="30" style="66" customWidth="true"/>
    <col min="6403" max="6656" width="9" style="66"/>
    <col min="6657" max="6657" width="29.2" style="66" customWidth="true"/>
    <col min="6658" max="6658" width="30" style="66" customWidth="true"/>
    <col min="6659" max="6912" width="9" style="66"/>
    <col min="6913" max="6913" width="29.2" style="66" customWidth="true"/>
    <col min="6914" max="6914" width="30" style="66" customWidth="true"/>
    <col min="6915" max="7168" width="9" style="66"/>
    <col min="7169" max="7169" width="29.2" style="66" customWidth="true"/>
    <col min="7170" max="7170" width="30" style="66" customWidth="true"/>
    <col min="7171" max="7424" width="9" style="66"/>
    <col min="7425" max="7425" width="29.2" style="66" customWidth="true"/>
    <col min="7426" max="7426" width="30" style="66" customWidth="true"/>
    <col min="7427" max="7680" width="9" style="66"/>
    <col min="7681" max="7681" width="29.2" style="66" customWidth="true"/>
    <col min="7682" max="7682" width="30" style="66" customWidth="true"/>
    <col min="7683" max="7936" width="9" style="66"/>
    <col min="7937" max="7937" width="29.2" style="66" customWidth="true"/>
    <col min="7938" max="7938" width="30" style="66" customWidth="true"/>
    <col min="7939" max="8192" width="9" style="66"/>
    <col min="8193" max="8193" width="29.2" style="66" customWidth="true"/>
    <col min="8194" max="8194" width="30" style="66" customWidth="true"/>
    <col min="8195" max="8448" width="9" style="66"/>
    <col min="8449" max="8449" width="29.2" style="66" customWidth="true"/>
    <col min="8450" max="8450" width="30" style="66" customWidth="true"/>
    <col min="8451" max="8704" width="9" style="66"/>
    <col min="8705" max="8705" width="29.2" style="66" customWidth="true"/>
    <col min="8706" max="8706" width="30" style="66" customWidth="true"/>
    <col min="8707" max="8960" width="9" style="66"/>
    <col min="8961" max="8961" width="29.2" style="66" customWidth="true"/>
    <col min="8962" max="8962" width="30" style="66" customWidth="true"/>
    <col min="8963" max="9216" width="9" style="66"/>
    <col min="9217" max="9217" width="29.2" style="66" customWidth="true"/>
    <col min="9218" max="9218" width="30" style="66" customWidth="true"/>
    <col min="9219" max="9472" width="9" style="66"/>
    <col min="9473" max="9473" width="29.2" style="66" customWidth="true"/>
    <col min="9474" max="9474" width="30" style="66" customWidth="true"/>
    <col min="9475" max="9728" width="9" style="66"/>
    <col min="9729" max="9729" width="29.2" style="66" customWidth="true"/>
    <col min="9730" max="9730" width="30" style="66" customWidth="true"/>
    <col min="9731" max="9984" width="9" style="66"/>
    <col min="9985" max="9985" width="29.2" style="66" customWidth="true"/>
    <col min="9986" max="9986" width="30" style="66" customWidth="true"/>
    <col min="9987" max="10240" width="9" style="66"/>
    <col min="10241" max="10241" width="29.2" style="66" customWidth="true"/>
    <col min="10242" max="10242" width="30" style="66" customWidth="true"/>
    <col min="10243" max="10496" width="9" style="66"/>
    <col min="10497" max="10497" width="29.2" style="66" customWidth="true"/>
    <col min="10498" max="10498" width="30" style="66" customWidth="true"/>
    <col min="10499" max="10752" width="9" style="66"/>
    <col min="10753" max="10753" width="29.2" style="66" customWidth="true"/>
    <col min="10754" max="10754" width="30" style="66" customWidth="true"/>
    <col min="10755" max="11008" width="9" style="66"/>
    <col min="11009" max="11009" width="29.2" style="66" customWidth="true"/>
    <col min="11010" max="11010" width="30" style="66" customWidth="true"/>
    <col min="11011" max="11264" width="9" style="66"/>
    <col min="11265" max="11265" width="29.2" style="66" customWidth="true"/>
    <col min="11266" max="11266" width="30" style="66" customWidth="true"/>
    <col min="11267" max="11520" width="9" style="66"/>
    <col min="11521" max="11521" width="29.2" style="66" customWidth="true"/>
    <col min="11522" max="11522" width="30" style="66" customWidth="true"/>
    <col min="11523" max="11776" width="9" style="66"/>
    <col min="11777" max="11777" width="29.2" style="66" customWidth="true"/>
    <col min="11778" max="11778" width="30" style="66" customWidth="true"/>
    <col min="11779" max="12032" width="9" style="66"/>
    <col min="12033" max="12033" width="29.2" style="66" customWidth="true"/>
    <col min="12034" max="12034" width="30" style="66" customWidth="true"/>
    <col min="12035" max="12288" width="9" style="66"/>
    <col min="12289" max="12289" width="29.2" style="66" customWidth="true"/>
    <col min="12290" max="12290" width="30" style="66" customWidth="true"/>
    <col min="12291" max="12544" width="9" style="66"/>
    <col min="12545" max="12545" width="29.2" style="66" customWidth="true"/>
    <col min="12546" max="12546" width="30" style="66" customWidth="true"/>
    <col min="12547" max="12800" width="9" style="66"/>
    <col min="12801" max="12801" width="29.2" style="66" customWidth="true"/>
    <col min="12802" max="12802" width="30" style="66" customWidth="true"/>
    <col min="12803" max="13056" width="9" style="66"/>
    <col min="13057" max="13057" width="29.2" style="66" customWidth="true"/>
    <col min="13058" max="13058" width="30" style="66" customWidth="true"/>
    <col min="13059" max="13312" width="9" style="66"/>
    <col min="13313" max="13313" width="29.2" style="66" customWidth="true"/>
    <col min="13314" max="13314" width="30" style="66" customWidth="true"/>
    <col min="13315" max="13568" width="9" style="66"/>
    <col min="13569" max="13569" width="29.2" style="66" customWidth="true"/>
    <col min="13570" max="13570" width="30" style="66" customWidth="true"/>
    <col min="13571" max="13824" width="9" style="66"/>
    <col min="13825" max="13825" width="29.2" style="66" customWidth="true"/>
    <col min="13826" max="13826" width="30" style="66" customWidth="true"/>
    <col min="13827" max="14080" width="9" style="66"/>
    <col min="14081" max="14081" width="29.2" style="66" customWidth="true"/>
    <col min="14082" max="14082" width="30" style="66" customWidth="true"/>
    <col min="14083" max="14336" width="9" style="66"/>
    <col min="14337" max="14337" width="29.2" style="66" customWidth="true"/>
    <col min="14338" max="14338" width="30" style="66" customWidth="true"/>
    <col min="14339" max="14592" width="9" style="66"/>
    <col min="14593" max="14593" width="29.2" style="66" customWidth="true"/>
    <col min="14594" max="14594" width="30" style="66" customWidth="true"/>
    <col min="14595" max="14848" width="9" style="66"/>
    <col min="14849" max="14849" width="29.2" style="66" customWidth="true"/>
    <col min="14850" max="14850" width="30" style="66" customWidth="true"/>
    <col min="14851" max="15104" width="9" style="66"/>
    <col min="15105" max="15105" width="29.2" style="66" customWidth="true"/>
    <col min="15106" max="15106" width="30" style="66" customWidth="true"/>
    <col min="15107" max="15360" width="9" style="66"/>
    <col min="15361" max="15361" width="29.2" style="66" customWidth="true"/>
    <col min="15362" max="15362" width="30" style="66" customWidth="true"/>
    <col min="15363" max="15616" width="9" style="66"/>
    <col min="15617" max="15617" width="29.2" style="66" customWidth="true"/>
    <col min="15618" max="15618" width="30" style="66" customWidth="true"/>
    <col min="15619" max="15872" width="9" style="66"/>
    <col min="15873" max="15873" width="29.2" style="66" customWidth="true"/>
    <col min="15874" max="15874" width="30" style="66" customWidth="true"/>
    <col min="15875" max="16128" width="9" style="66"/>
    <col min="16129" max="16129" width="29.2" style="66" customWidth="true"/>
    <col min="16130" max="16130" width="30" style="66" customWidth="true"/>
    <col min="16131" max="16384" width="9" style="66"/>
  </cols>
  <sheetData>
    <row r="1" ht="33" customHeight="true" spans="1:2">
      <c r="A1" s="67" t="s">
        <v>108</v>
      </c>
      <c r="B1" s="67"/>
    </row>
    <row r="2" customHeight="true" spans="1:2">
      <c r="A2" s="68" t="s">
        <v>109</v>
      </c>
      <c r="B2" s="68" t="s">
        <v>110</v>
      </c>
    </row>
    <row r="3" customHeight="true" spans="1:2">
      <c r="A3" s="68" t="s">
        <v>111</v>
      </c>
      <c r="B3" s="69" t="e">
        <f>#REF!*0.5</f>
        <v>#REF!</v>
      </c>
    </row>
    <row r="4" customHeight="true" spans="1:2">
      <c r="A4" s="68" t="s">
        <v>112</v>
      </c>
      <c r="B4" s="69"/>
    </row>
    <row r="5" customHeight="true" spans="1:2">
      <c r="A5" s="68" t="s">
        <v>113</v>
      </c>
      <c r="B5" s="69"/>
    </row>
    <row r="6" customHeight="true" spans="1:2">
      <c r="A6" s="68" t="s">
        <v>114</v>
      </c>
      <c r="B6" s="69" t="e">
        <f>#REF!*0.5</f>
        <v>#REF!</v>
      </c>
    </row>
    <row r="7" customHeight="true" spans="1:2">
      <c r="A7" s="68"/>
      <c r="B7" s="69"/>
    </row>
    <row r="8" customHeight="true" spans="1:2">
      <c r="A8" s="68"/>
      <c r="B8" s="69"/>
    </row>
    <row r="9" customHeight="true" spans="1:2">
      <c r="A9" s="68" t="s">
        <v>115</v>
      </c>
      <c r="B9" s="69" t="e">
        <f>SUM(B3:B8)</f>
        <v>#REF!</v>
      </c>
    </row>
  </sheetData>
  <mergeCells count="1">
    <mergeCell ref="A1:B1"/>
  </mergeCell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7"/>
  <sheetViews>
    <sheetView zoomScale="90" zoomScaleNormal="90" topLeftCell="A6" workbookViewId="0">
      <selection activeCell="B4" sqref="B4:B5"/>
    </sheetView>
  </sheetViews>
  <sheetFormatPr defaultColWidth="10" defaultRowHeight="13.5"/>
  <cols>
    <col min="1" max="1" width="5.46666666666667" style="37" customWidth="true"/>
    <col min="2" max="2" width="19" style="37" customWidth="true"/>
    <col min="3" max="3" width="13.8666666666667" style="37" customWidth="true"/>
    <col min="4" max="4" width="10" style="37"/>
    <col min="5" max="5" width="9.86666666666667" style="37" customWidth="true"/>
    <col min="6" max="6" width="10.4666666666667" style="37" customWidth="true"/>
    <col min="7" max="7" width="11.8" style="37" customWidth="true"/>
    <col min="8" max="8" width="10.8" style="37" customWidth="true"/>
    <col min="9" max="9" width="11.1333333333333" style="37" customWidth="true"/>
    <col min="10" max="10" width="12.1333333333333" style="37" customWidth="true"/>
    <col min="11" max="11" width="11.4666666666667" style="37" customWidth="true"/>
    <col min="12" max="12" width="13.3333333333333" style="37" customWidth="true"/>
    <col min="13" max="13" width="14" style="37" customWidth="true"/>
    <col min="14" max="14" width="15.6666666666667" style="37" customWidth="true"/>
    <col min="15" max="16384" width="10" style="37"/>
  </cols>
  <sheetData>
    <row r="1" ht="76.5" customHeight="true" spans="1:15">
      <c r="A1" s="38" t="s">
        <v>116</v>
      </c>
      <c r="B1" s="38"/>
      <c r="C1" s="38"/>
      <c r="D1" s="38"/>
      <c r="E1" s="38"/>
      <c r="F1" s="38"/>
      <c r="G1" s="38"/>
      <c r="H1" s="38"/>
      <c r="I1" s="38"/>
      <c r="J1" s="38"/>
      <c r="K1" s="38"/>
      <c r="L1" s="38"/>
      <c r="M1" s="38"/>
      <c r="N1" s="38"/>
      <c r="O1" s="38"/>
    </row>
    <row r="2" ht="20.1" customHeight="true" spans="1:17">
      <c r="A2" s="39" t="s">
        <v>1</v>
      </c>
      <c r="B2" s="39" t="s">
        <v>117</v>
      </c>
      <c r="C2" s="39" t="s">
        <v>118</v>
      </c>
      <c r="D2" s="39"/>
      <c r="E2" s="39" t="s">
        <v>119</v>
      </c>
      <c r="F2" s="39"/>
      <c r="G2" s="39"/>
      <c r="H2" s="39"/>
      <c r="I2" s="39"/>
      <c r="J2" s="39"/>
      <c r="K2" s="39"/>
      <c r="L2" s="39"/>
      <c r="M2" s="39"/>
      <c r="N2" s="39"/>
      <c r="O2" s="39"/>
      <c r="P2" s="60"/>
      <c r="Q2" s="60"/>
    </row>
    <row r="3" ht="34.5" customHeight="true" spans="1:17">
      <c r="A3" s="39"/>
      <c r="B3" s="39"/>
      <c r="C3" s="39"/>
      <c r="D3" s="39"/>
      <c r="E3" s="55" t="s">
        <v>120</v>
      </c>
      <c r="F3" s="55" t="s">
        <v>121</v>
      </c>
      <c r="G3" s="55" t="s">
        <v>122</v>
      </c>
      <c r="H3" s="55" t="s">
        <v>123</v>
      </c>
      <c r="I3" s="55" t="s">
        <v>124</v>
      </c>
      <c r="J3" s="55" t="s">
        <v>125</v>
      </c>
      <c r="K3" s="55" t="s">
        <v>126</v>
      </c>
      <c r="L3" s="55" t="s">
        <v>127</v>
      </c>
      <c r="M3" s="55" t="s">
        <v>128</v>
      </c>
      <c r="N3" s="55" t="s">
        <v>129</v>
      </c>
      <c r="O3" s="55" t="s">
        <v>130</v>
      </c>
      <c r="P3" s="61" t="s">
        <v>131</v>
      </c>
      <c r="Q3" s="61" t="s">
        <v>132</v>
      </c>
    </row>
    <row r="4" ht="20.1" customHeight="true" spans="1:17">
      <c r="A4" s="40" t="s">
        <v>9</v>
      </c>
      <c r="B4" s="41" t="s">
        <v>133</v>
      </c>
      <c r="C4" s="39" t="s">
        <v>134</v>
      </c>
      <c r="D4" s="39"/>
      <c r="E4" s="55">
        <v>0.08</v>
      </c>
      <c r="F4" s="55">
        <v>0.07</v>
      </c>
      <c r="G4" s="55">
        <v>0.06</v>
      </c>
      <c r="H4" s="55">
        <v>0.05</v>
      </c>
      <c r="I4" s="55">
        <v>0.045</v>
      </c>
      <c r="J4" s="55">
        <v>0.03</v>
      </c>
      <c r="K4" s="55">
        <v>0.015</v>
      </c>
      <c r="L4" s="59"/>
      <c r="M4" s="59"/>
      <c r="N4" s="59"/>
      <c r="O4" s="59"/>
      <c r="P4" s="62"/>
      <c r="Q4" s="62"/>
    </row>
    <row r="5" ht="20.1" customHeight="true" spans="1:17">
      <c r="A5" s="42"/>
      <c r="B5" s="43"/>
      <c r="C5" s="44">
        <v>3500</v>
      </c>
      <c r="D5" s="45"/>
      <c r="E5" s="56">
        <f>IF(C5&gt;=100,100*E4/100,C5*E4/100)</f>
        <v>0.08</v>
      </c>
      <c r="F5" s="56">
        <f>IF(C5&lt;=100,0,IF(C5&gt;=500,400*F4/100,(C5-100)*F4/100))</f>
        <v>0.28</v>
      </c>
      <c r="G5" s="56">
        <f>IF(C5&lt;=500,0,IF(C5&gt;=1000,500*G4/100,(C5-500)*G4/100))</f>
        <v>0.3</v>
      </c>
      <c r="H5" s="56">
        <f>IF(C5&lt;=1000,0,IF(C5&gt;=3000,2000*H4/100,(C5-1000)*H4/100))</f>
        <v>1</v>
      </c>
      <c r="I5" s="56">
        <f>IF(C5&lt;=3000,0,IF(C5&gt;=5000,2000*I4/100,(C5-3000)*I4/100))</f>
        <v>0.225</v>
      </c>
      <c r="J5" s="56">
        <f>IF(C5&lt;=5000,0,IF(C5&gt;=10000,5000*J4/100,(C5-5000)*J4/100))</f>
        <v>0</v>
      </c>
      <c r="K5" s="56">
        <f>IF(C5&lt;=10000,0,(C5-10000)*K4/100)</f>
        <v>0</v>
      </c>
      <c r="L5" s="59"/>
      <c r="M5" s="59"/>
      <c r="N5" s="59"/>
      <c r="O5" s="59"/>
      <c r="P5" s="63">
        <f>SUM(E5:O5)</f>
        <v>1.885</v>
      </c>
      <c r="Q5" s="62"/>
    </row>
    <row r="6" ht="20.1" customHeight="true" spans="1:17">
      <c r="A6" s="39" t="s">
        <v>82</v>
      </c>
      <c r="B6" s="46" t="s">
        <v>135</v>
      </c>
      <c r="C6" s="39" t="s">
        <v>134</v>
      </c>
      <c r="D6" s="39"/>
      <c r="E6" s="55">
        <v>0.17</v>
      </c>
      <c r="F6" s="55">
        <v>0.15</v>
      </c>
      <c r="G6" s="55">
        <v>0.13</v>
      </c>
      <c r="H6" s="55">
        <v>0.11</v>
      </c>
      <c r="I6" s="55">
        <v>0.085</v>
      </c>
      <c r="J6" s="55">
        <v>0.07</v>
      </c>
      <c r="K6" s="55">
        <v>0.04</v>
      </c>
      <c r="L6" s="59"/>
      <c r="M6" s="59"/>
      <c r="N6" s="59"/>
      <c r="O6" s="59"/>
      <c r="P6" s="62"/>
      <c r="Q6" s="62"/>
    </row>
    <row r="7" ht="20.1" customHeight="true" spans="1:17">
      <c r="A7" s="39" t="s">
        <v>85</v>
      </c>
      <c r="B7" s="47" t="s">
        <v>136</v>
      </c>
      <c r="C7" s="48" t="s">
        <v>137</v>
      </c>
      <c r="D7" s="49"/>
      <c r="E7" s="55">
        <v>0.37</v>
      </c>
      <c r="F7" s="55">
        <v>0.35</v>
      </c>
      <c r="G7" s="55">
        <v>0.33</v>
      </c>
      <c r="H7" s="55">
        <v>0.29</v>
      </c>
      <c r="I7" s="55">
        <v>0.27</v>
      </c>
      <c r="J7" s="55">
        <v>0.22</v>
      </c>
      <c r="K7" s="55">
        <v>0.18</v>
      </c>
      <c r="L7" s="59"/>
      <c r="M7" s="59"/>
      <c r="N7" s="59"/>
      <c r="O7" s="59"/>
      <c r="P7" s="62"/>
      <c r="Q7" s="62"/>
    </row>
    <row r="8" ht="20.1" customHeight="true" spans="1:17">
      <c r="A8" s="39"/>
      <c r="B8" s="50" t="s">
        <v>138</v>
      </c>
      <c r="C8" s="48" t="s">
        <v>137</v>
      </c>
      <c r="D8" s="49"/>
      <c r="E8" s="55">
        <v>0.37</v>
      </c>
      <c r="F8" s="55">
        <v>0.35</v>
      </c>
      <c r="G8" s="55">
        <v>0.33</v>
      </c>
      <c r="H8" s="55">
        <v>0.29</v>
      </c>
      <c r="I8" s="55">
        <v>0.27</v>
      </c>
      <c r="J8" s="55">
        <v>0.22</v>
      </c>
      <c r="K8" s="55">
        <v>0.18</v>
      </c>
      <c r="L8" s="59"/>
      <c r="M8" s="59"/>
      <c r="N8" s="59"/>
      <c r="O8" s="59"/>
      <c r="P8" s="62"/>
      <c r="Q8" s="62"/>
    </row>
    <row r="9" ht="20.1" customHeight="true" spans="1:17">
      <c r="A9" s="39"/>
      <c r="B9" s="51"/>
      <c r="C9" s="52" t="e">
        <f>#REF!</f>
        <v>#REF!</v>
      </c>
      <c r="D9" s="45"/>
      <c r="E9" s="56" t="e">
        <f>IF(C9&gt;=100,100*E8/100,C9*E8/100)</f>
        <v>#REF!</v>
      </c>
      <c r="F9" s="56" t="e">
        <f>IF(C9&lt;=100,0,IF(C9&gt;=500,400*F8/100,(C9-100)*F8/100))</f>
        <v>#REF!</v>
      </c>
      <c r="G9" s="56" t="e">
        <f>IF(C9&lt;=500,0,IF(C9&gt;=1000,500*G8/100,(C9-500)*G8/100))</f>
        <v>#REF!</v>
      </c>
      <c r="H9" s="56" t="e">
        <f>IF(C9&lt;=1000,0,IF(C9&gt;=3000,2000*H8/100,(C9-1000)*H8/100))</f>
        <v>#REF!</v>
      </c>
      <c r="I9" s="56" t="e">
        <f>IF(C9&lt;=3000,0,IF(C9&gt;=5000,2000*I8/100,(C9-3000)*I8/100))</f>
        <v>#REF!</v>
      </c>
      <c r="J9" s="56" t="e">
        <f>IF(C9&lt;=5000,0,IF(C9&gt;=10000,5000*J8/100,(C9-5000)*J8/100))</f>
        <v>#REF!</v>
      </c>
      <c r="K9" s="56" t="e">
        <f>IF(C9&lt;=10000,0,(C9-10000)*K8/100)</f>
        <v>#REF!</v>
      </c>
      <c r="L9" s="59"/>
      <c r="M9" s="59"/>
      <c r="N9" s="59"/>
      <c r="O9" s="59"/>
      <c r="P9" s="63" t="e">
        <f>SUM(E9:O9)</f>
        <v>#REF!</v>
      </c>
      <c r="Q9" s="62"/>
    </row>
    <row r="10" ht="20.1" customHeight="true" spans="1:17">
      <c r="A10" s="39"/>
      <c r="B10" s="47" t="s">
        <v>139</v>
      </c>
      <c r="C10" s="48" t="s">
        <v>137</v>
      </c>
      <c r="D10" s="49"/>
      <c r="E10" s="55">
        <v>0.37</v>
      </c>
      <c r="F10" s="55">
        <v>0.35</v>
      </c>
      <c r="G10" s="55">
        <v>0.33</v>
      </c>
      <c r="H10" s="55">
        <v>0.29</v>
      </c>
      <c r="I10" s="55">
        <v>0.27</v>
      </c>
      <c r="J10" s="55">
        <v>0.22</v>
      </c>
      <c r="K10" s="55">
        <v>0.18</v>
      </c>
      <c r="L10" s="59"/>
      <c r="M10" s="59"/>
      <c r="N10" s="59"/>
      <c r="O10" s="59"/>
      <c r="P10" s="62"/>
      <c r="Q10" s="65" t="s">
        <v>140</v>
      </c>
    </row>
    <row r="11" ht="20.1" customHeight="true" spans="1:17">
      <c r="A11" s="40" t="s">
        <v>106</v>
      </c>
      <c r="B11" s="41" t="s">
        <v>141</v>
      </c>
      <c r="C11" s="39" t="s">
        <v>142</v>
      </c>
      <c r="D11" s="39"/>
      <c r="E11" s="55">
        <v>0.04</v>
      </c>
      <c r="F11" s="55">
        <v>0.04</v>
      </c>
      <c r="G11" s="55">
        <v>0.04</v>
      </c>
      <c r="H11" s="55">
        <v>0.036</v>
      </c>
      <c r="I11" s="55">
        <v>0.032</v>
      </c>
      <c r="J11" s="55">
        <v>0.024</v>
      </c>
      <c r="K11" s="55">
        <v>0.02</v>
      </c>
      <c r="L11" s="55">
        <v>0.02</v>
      </c>
      <c r="M11" s="55">
        <v>0.008</v>
      </c>
      <c r="N11" s="55">
        <v>0.006</v>
      </c>
      <c r="O11" s="55">
        <v>0.004</v>
      </c>
      <c r="P11" s="62"/>
      <c r="Q11" s="62"/>
    </row>
    <row r="12" ht="20.1" customHeight="true" spans="1:17">
      <c r="A12" s="42"/>
      <c r="B12" s="43"/>
      <c r="C12" s="52" t="e">
        <f>#REF!</f>
        <v>#REF!</v>
      </c>
      <c r="D12" s="45"/>
      <c r="E12" s="56" t="e">
        <f>IF(C12&gt;=100,100*E11/100,C12*E11/100)</f>
        <v>#REF!</v>
      </c>
      <c r="F12" s="56" t="e">
        <f>IF(C12&lt;=100,0,IF(C12&gt;=500,400*F11/100,(C12-100)*F11/100))</f>
        <v>#REF!</v>
      </c>
      <c r="G12" s="56" t="e">
        <f>IF(C12&lt;=500,0,IF(C12&gt;=1000,500*G11/100,(C12-500)*G11/100))</f>
        <v>#REF!</v>
      </c>
      <c r="H12" s="56" t="e">
        <f>IF(C12&lt;=1000,0,IF(C12&gt;=3000,2000*H11/100,(C12-1000)*H11/100))</f>
        <v>#REF!</v>
      </c>
      <c r="I12" s="56" t="e">
        <f>IF(C12&lt;=3000,0,IF(C12&gt;=5000,2000*I11/100,(C12-3000)*I11/100))</f>
        <v>#REF!</v>
      </c>
      <c r="J12" s="56" t="e">
        <f>IF(C12&lt;=5000,0,IF(C12&gt;=10000,5000*J11/100,(C12-5000)*J11/100))</f>
        <v>#REF!</v>
      </c>
      <c r="K12" s="56" t="e">
        <f>IF(C12&lt;=10000,0,IF(C12&gt;=50000,40000*K11/100,(C12-10000)*K11/100))</f>
        <v>#REF!</v>
      </c>
      <c r="L12" s="56" t="e">
        <f>IF(C12&lt;=50000,0,IF(C12&gt;=100000,50000*L11/100,(C12-50000)*L11/100))</f>
        <v>#REF!</v>
      </c>
      <c r="M12" s="56" t="e">
        <f>IF(C12&lt;=100000,0,IF(C12&gt;=500000,400000*M11/100,(C12-100000)*M11/100))</f>
        <v>#REF!</v>
      </c>
      <c r="N12" s="56" t="e">
        <f>IF(C12&lt;=500000,0,IF(C12&gt;=1000000,500000*N11/100,(D12-500000)*N11/100))</f>
        <v>#REF!</v>
      </c>
      <c r="O12" s="56" t="e">
        <f>IF(C12&lt;=1000000,0,(C12-1000000)*O11/100)</f>
        <v>#REF!</v>
      </c>
      <c r="P12" s="63" t="e">
        <f>SUM(E12:O12)</f>
        <v>#REF!</v>
      </c>
      <c r="Q12" s="62"/>
    </row>
    <row r="13" ht="20.1" customHeight="true" spans="1:17">
      <c r="A13" s="40" t="s">
        <v>143</v>
      </c>
      <c r="B13" s="41" t="s">
        <v>144</v>
      </c>
      <c r="C13" s="39" t="s">
        <v>142</v>
      </c>
      <c r="D13" s="39"/>
      <c r="E13" s="55">
        <v>0.1</v>
      </c>
      <c r="F13" s="55">
        <v>0.1</v>
      </c>
      <c r="G13" s="55">
        <v>0.1</v>
      </c>
      <c r="H13" s="55">
        <v>0.09</v>
      </c>
      <c r="I13" s="55">
        <v>0.08</v>
      </c>
      <c r="J13" s="55">
        <v>0.06</v>
      </c>
      <c r="K13" s="55">
        <v>0.05</v>
      </c>
      <c r="L13" s="55">
        <v>0.035</v>
      </c>
      <c r="M13" s="55">
        <v>0.008</v>
      </c>
      <c r="N13" s="55">
        <v>0.006</v>
      </c>
      <c r="O13" s="55">
        <v>0.004</v>
      </c>
      <c r="P13" s="62"/>
      <c r="Q13" s="62"/>
    </row>
    <row r="14" ht="20.1" customHeight="true" spans="1:17">
      <c r="A14" s="42"/>
      <c r="B14" s="43"/>
      <c r="C14" s="52" t="e">
        <f>C12</f>
        <v>#REF!</v>
      </c>
      <c r="D14" s="45"/>
      <c r="E14" s="56" t="e">
        <f>IF(C14&gt;=100,100*E13/100,C14*E13/100)</f>
        <v>#REF!</v>
      </c>
      <c r="F14" s="56" t="e">
        <f>IF(C14&lt;=100,0,IF(C14&gt;=500,400*F13/100,(C14-100)*F13/100))</f>
        <v>#REF!</v>
      </c>
      <c r="G14" s="56" t="e">
        <f>IF(C14&lt;=500,0,IF(C14&gt;=1000,500*G13/100,(C14-500)*G13/100))</f>
        <v>#REF!</v>
      </c>
      <c r="H14" s="56" t="e">
        <f>IF(C14&lt;=1000,0,IF(C14&gt;=3000,2000*H13/100,(C14-1000)*H13/100))</f>
        <v>#REF!</v>
      </c>
      <c r="I14" s="56" t="e">
        <f>IF(C14&lt;=3000,0,IF(C14&gt;=5000,2000*I13/100,(C14-3000)*I13/100))</f>
        <v>#REF!</v>
      </c>
      <c r="J14" s="56" t="e">
        <f>IF(C14&lt;=5000,0,IF(C14&gt;=10000,5000*J13/100,(C14-5000)*J13/100))</f>
        <v>#REF!</v>
      </c>
      <c r="K14" s="56" t="e">
        <f>IF(C14&lt;=10000,0,IF(C14&gt;=50000,40000*K13/100,(C14-10000)*K13/100))</f>
        <v>#REF!</v>
      </c>
      <c r="L14" s="56" t="e">
        <f>IF(C14&lt;=50000,0,IF(C14&gt;=100000,50000*L13/100,(C14-50000)*L13/100))</f>
        <v>#REF!</v>
      </c>
      <c r="M14" s="56" t="e">
        <f>IF(C14&lt;=100000,0,IF(C14&gt;=500000,400000*M13/100,(C14-100000)*M13/100))</f>
        <v>#REF!</v>
      </c>
      <c r="N14" s="56" t="e">
        <f>IF(C14&lt;=500000,0,IF(C14&gt;=1000000,500000*N13/100,(D14-500000)*N13/100))</f>
        <v>#REF!</v>
      </c>
      <c r="O14" s="56" t="e">
        <f>IF(C14&lt;=1000000,0,(C14-1000000)*O13/100)</f>
        <v>#REF!</v>
      </c>
      <c r="P14" s="63" t="e">
        <f>SUM(E14:O14)</f>
        <v>#REF!</v>
      </c>
      <c r="Q14" s="62"/>
    </row>
    <row r="15" ht="20.1" customHeight="true" spans="1:17">
      <c r="A15" s="40" t="s">
        <v>145</v>
      </c>
      <c r="B15" s="41" t="s">
        <v>146</v>
      </c>
      <c r="C15" s="39" t="s">
        <v>137</v>
      </c>
      <c r="D15" s="39"/>
      <c r="E15" s="55">
        <v>0.11</v>
      </c>
      <c r="F15" s="55">
        <v>0.11</v>
      </c>
      <c r="G15" s="55">
        <v>0.11</v>
      </c>
      <c r="H15" s="55">
        <v>0.1</v>
      </c>
      <c r="I15" s="55">
        <v>0.085</v>
      </c>
      <c r="J15" s="55">
        <v>0.07</v>
      </c>
      <c r="K15" s="55">
        <v>0.06</v>
      </c>
      <c r="L15" s="55">
        <v>0.035</v>
      </c>
      <c r="M15" s="55">
        <v>0.008</v>
      </c>
      <c r="N15" s="55">
        <v>0.006</v>
      </c>
      <c r="O15" s="55">
        <v>0.004</v>
      </c>
      <c r="P15" s="62"/>
      <c r="Q15" s="62"/>
    </row>
    <row r="16" ht="20.1" customHeight="true" spans="1:17">
      <c r="A16" s="42"/>
      <c r="B16" s="43"/>
      <c r="C16" s="52" t="e">
        <f>C9</f>
        <v>#REF!</v>
      </c>
      <c r="D16" s="45"/>
      <c r="E16" s="56" t="e">
        <f>IF(C16&gt;=100,100*E15/100,C16*E15/100)</f>
        <v>#REF!</v>
      </c>
      <c r="F16" s="56" t="e">
        <f>IF(C16&lt;=100,0,IF(C16&gt;=500,400*F15/100,(C16-100)*F15/100))</f>
        <v>#REF!</v>
      </c>
      <c r="G16" s="56" t="e">
        <f>IF(C16&lt;=500,0,IF(C16&gt;=1000,500*G15/100,(C16-500)*G15/100))</f>
        <v>#REF!</v>
      </c>
      <c r="H16" s="56" t="e">
        <f>IF(C16&lt;=1000,0,IF(C16&gt;=3000,2000*H15/100,(C16-1000)*H15/100))</f>
        <v>#REF!</v>
      </c>
      <c r="I16" s="56" t="e">
        <f>IF(C16&lt;=3000,0,IF(C16&gt;=5000,2000*I15/100,(C16-3000)*I15/100))</f>
        <v>#REF!</v>
      </c>
      <c r="J16" s="56" t="e">
        <f>IF(C16&lt;=5000,0,IF(C16&gt;=10000,5000*J15/100,(C16-5000)*J15/100))</f>
        <v>#REF!</v>
      </c>
      <c r="K16" s="56" t="e">
        <f>IF(C16&lt;=10000,0,IF(C16&gt;=50000,40000*K15/100,(C16-10000)*K15/100))</f>
        <v>#REF!</v>
      </c>
      <c r="L16" s="56" t="e">
        <f>IF(C16&lt;=50000,0,IF(C16&gt;=100000,50000*L15/100,(C16-50000)*L15/100))</f>
        <v>#REF!</v>
      </c>
      <c r="M16" s="56" t="e">
        <f>IF(C16&lt;=100000,0,IF(C16&gt;=500000,400000*M15/100,(C16-100000)*M15/100))</f>
        <v>#REF!</v>
      </c>
      <c r="N16" s="56" t="e">
        <f>IF(C16&lt;=500000,0,IF(C16&gt;=1000000,500000*N15/100,(D16-500000)*N15/100))</f>
        <v>#REF!</v>
      </c>
      <c r="O16" s="56" t="e">
        <f>IF(C16&lt;=1000000,0,(C16-1000000)*O15/100)</f>
        <v>#REF!</v>
      </c>
      <c r="P16" s="63" t="e">
        <f>SUM(E16:O16)</f>
        <v>#REF!</v>
      </c>
      <c r="Q16" s="62"/>
    </row>
    <row r="17" ht="20.1" customHeight="true" spans="1:17">
      <c r="A17" s="40" t="s">
        <v>147</v>
      </c>
      <c r="B17" s="41" t="s">
        <v>148</v>
      </c>
      <c r="C17" s="39" t="s">
        <v>137</v>
      </c>
      <c r="D17" s="39"/>
      <c r="E17" s="55">
        <v>0.31</v>
      </c>
      <c r="F17" s="55">
        <v>0.31</v>
      </c>
      <c r="G17" s="55">
        <v>0.31</v>
      </c>
      <c r="H17" s="55">
        <v>0.285</v>
      </c>
      <c r="I17" s="55">
        <v>0.26</v>
      </c>
      <c r="J17" s="55">
        <v>0.22</v>
      </c>
      <c r="K17" s="55">
        <v>0.18</v>
      </c>
      <c r="L17" s="55">
        <v>0.035</v>
      </c>
      <c r="M17" s="55">
        <v>0.008</v>
      </c>
      <c r="N17" s="55">
        <v>0.006</v>
      </c>
      <c r="O17" s="55">
        <v>0.004</v>
      </c>
      <c r="P17" s="62"/>
      <c r="Q17" s="62"/>
    </row>
    <row r="18" ht="20.1" customHeight="true" spans="1:17">
      <c r="A18" s="42"/>
      <c r="B18" s="43"/>
      <c r="C18" s="52" t="e">
        <f>C9</f>
        <v>#REF!</v>
      </c>
      <c r="D18" s="45"/>
      <c r="E18" s="56" t="e">
        <f>IF(C18&gt;=100,100*E17/100,C18*E17/100)</f>
        <v>#REF!</v>
      </c>
      <c r="F18" s="56" t="e">
        <f>IF(C18&lt;=100,0,IF(C18&gt;=500,400*F17/100,(C18-100)*F17/100))</f>
        <v>#REF!</v>
      </c>
      <c r="G18" s="56" t="e">
        <f>IF(C18&lt;=500,0,IF(C18&gt;=1000,500*G17/100,(C18-500)*G17/100))</f>
        <v>#REF!</v>
      </c>
      <c r="H18" s="56" t="e">
        <f>IF(C18&lt;=1000,0,IF(C18&gt;=3000,2000*H17/100,(C18-1000)*H17/100))</f>
        <v>#REF!</v>
      </c>
      <c r="I18" s="56" t="e">
        <f>IF(C18&lt;=3000,0,IF(C18&gt;=5000,2000*I17/100,(C18-3000)*I17/100))</f>
        <v>#REF!</v>
      </c>
      <c r="J18" s="56" t="e">
        <f>IF(C18&lt;=5000,0,IF(C18&gt;=10000,5000*J17/100,(C18-5000)*J17/100))</f>
        <v>#REF!</v>
      </c>
      <c r="K18" s="56" t="e">
        <f>IF(C18&lt;=10000,0,IF(C18&gt;=50000,40000*K17/100,(C18-10000)*K17/100))</f>
        <v>#REF!</v>
      </c>
      <c r="L18" s="56" t="e">
        <f>IF(C18&lt;=50000,0,IF(C18&gt;=100000,50000*L17/100,(C18-50000)*L17/100))</f>
        <v>#REF!</v>
      </c>
      <c r="M18" s="56" t="e">
        <f>IF(C18&lt;=100000,0,IF(C18&gt;=500000,400000*M17/100,(C18-100000)*M17/100))</f>
        <v>#REF!</v>
      </c>
      <c r="N18" s="56" t="e">
        <f>IF(C18&lt;=500000,0,IF(C18&gt;=1000000,500000*N17/100,(D18-500000)*N17/100))</f>
        <v>#REF!</v>
      </c>
      <c r="O18" s="56" t="e">
        <f>IF(C18&lt;=1000000,0,(C18-1000000)*O17/100)</f>
        <v>#REF!</v>
      </c>
      <c r="P18" s="63" t="e">
        <f>SUM(E18:O18)</f>
        <v>#REF!</v>
      </c>
      <c r="Q18" s="62"/>
    </row>
    <row r="19" ht="20.1" customHeight="true" spans="1:17">
      <c r="A19" s="39" t="s">
        <v>149</v>
      </c>
      <c r="B19" s="41" t="s">
        <v>150</v>
      </c>
      <c r="C19" s="48" t="s">
        <v>137</v>
      </c>
      <c r="D19" s="49"/>
      <c r="E19" s="55">
        <v>1.1</v>
      </c>
      <c r="F19" s="55">
        <v>1</v>
      </c>
      <c r="G19" s="55">
        <v>0.85</v>
      </c>
      <c r="H19" s="55">
        <v>0.8</v>
      </c>
      <c r="I19" s="55">
        <v>0.75</v>
      </c>
      <c r="J19" s="55">
        <v>0.7</v>
      </c>
      <c r="K19" s="55">
        <v>0.65</v>
      </c>
      <c r="L19" s="59"/>
      <c r="M19" s="59"/>
      <c r="N19" s="59"/>
      <c r="O19" s="59"/>
      <c r="P19" s="62"/>
      <c r="Q19" s="62"/>
    </row>
    <row r="20" ht="20.1" customHeight="true" spans="1:17">
      <c r="A20" s="39"/>
      <c r="B20" s="43"/>
      <c r="C20" s="52" t="e">
        <f>C9</f>
        <v>#REF!</v>
      </c>
      <c r="D20" s="45"/>
      <c r="E20" s="56" t="e">
        <f>IF(C20&gt;=100,100*E19/100,C20*E19/100)</f>
        <v>#REF!</v>
      </c>
      <c r="F20" s="56" t="e">
        <f>IF(C20&lt;=100,0,IF(C20&gt;=500,400*F19/100,(C20-100)*F19/100))</f>
        <v>#REF!</v>
      </c>
      <c r="G20" s="56" t="e">
        <f>IF(C20&lt;=500,0,IF(C20&gt;=1000,500*G19/100,(C20-500)*G19/100))</f>
        <v>#REF!</v>
      </c>
      <c r="H20" s="56" t="e">
        <f>IF(C20&lt;=1000,0,IF(C20&gt;=3000,2000*H19/100,(C20-1000)*H19/100))</f>
        <v>#REF!</v>
      </c>
      <c r="I20" s="56" t="e">
        <f>IF(C20&lt;=3000,0,IF(C20&gt;=5000,2000*I19/100,(C20-3000)*I19/100))</f>
        <v>#REF!</v>
      </c>
      <c r="J20" s="56" t="e">
        <f>IF(C20&lt;=5000,0,IF(C20&gt;=10000,5000*J19/100,(C20-5000)*J19/100))</f>
        <v>#REF!</v>
      </c>
      <c r="K20" s="56" t="e">
        <f>IF(C20&lt;=10000,0,(C20-10000)*K19/100)</f>
        <v>#REF!</v>
      </c>
      <c r="L20" s="59"/>
      <c r="M20" s="59"/>
      <c r="N20" s="59"/>
      <c r="O20" s="59"/>
      <c r="P20" s="63" t="e">
        <f>SUM(E20:O20)</f>
        <v>#REF!</v>
      </c>
      <c r="Q20" s="62"/>
    </row>
    <row r="21" ht="20.1" customHeight="true" spans="1:17">
      <c r="A21" s="39" t="s">
        <v>151</v>
      </c>
      <c r="B21" s="46" t="s">
        <v>152</v>
      </c>
      <c r="C21" s="39" t="s">
        <v>153</v>
      </c>
      <c r="D21" s="39" t="s">
        <v>154</v>
      </c>
      <c r="E21" s="55">
        <v>0.36</v>
      </c>
      <c r="F21" s="55">
        <v>0.28</v>
      </c>
      <c r="G21" s="55">
        <v>0.22</v>
      </c>
      <c r="H21" s="55">
        <v>0.18</v>
      </c>
      <c r="I21" s="55">
        <v>0.15</v>
      </c>
      <c r="J21" s="55">
        <v>0.12</v>
      </c>
      <c r="K21" s="55">
        <v>0.09</v>
      </c>
      <c r="L21" s="59"/>
      <c r="M21" s="59"/>
      <c r="N21" s="59"/>
      <c r="O21" s="59"/>
      <c r="P21" s="62"/>
      <c r="Q21" s="62"/>
    </row>
    <row r="22" ht="20.1" customHeight="true" spans="1:17">
      <c r="A22" s="39"/>
      <c r="B22" s="46"/>
      <c r="C22" s="39"/>
      <c r="D22" s="39" t="s">
        <v>155</v>
      </c>
      <c r="E22" s="55">
        <v>0.36</v>
      </c>
      <c r="F22" s="55">
        <v>0.31</v>
      </c>
      <c r="G22" s="55">
        <v>0.22</v>
      </c>
      <c r="H22" s="55">
        <v>0.19</v>
      </c>
      <c r="I22" s="55">
        <v>0.16</v>
      </c>
      <c r="J22" s="55">
        <v>0.12</v>
      </c>
      <c r="K22" s="55">
        <v>0.09</v>
      </c>
      <c r="L22" s="59"/>
      <c r="M22" s="59"/>
      <c r="N22" s="59"/>
      <c r="O22" s="59"/>
      <c r="P22" s="62"/>
      <c r="Q22" s="62"/>
    </row>
    <row r="23" ht="20.1" customHeight="true" spans="1:17">
      <c r="A23" s="39"/>
      <c r="B23" s="46"/>
      <c r="C23" s="39" t="s">
        <v>156</v>
      </c>
      <c r="D23" s="39" t="s">
        <v>154</v>
      </c>
      <c r="E23" s="55">
        <v>6.3</v>
      </c>
      <c r="F23" s="55">
        <v>5.7</v>
      </c>
      <c r="G23" s="55">
        <v>5.1</v>
      </c>
      <c r="H23" s="55">
        <v>4</v>
      </c>
      <c r="I23" s="55">
        <v>3.8</v>
      </c>
      <c r="J23" s="55">
        <v>3.6</v>
      </c>
      <c r="K23" s="55">
        <v>3.2</v>
      </c>
      <c r="L23" s="59"/>
      <c r="M23" s="59"/>
      <c r="N23" s="59"/>
      <c r="O23" s="59"/>
      <c r="P23" s="62"/>
      <c r="Q23" s="62"/>
    </row>
    <row r="24" ht="20.1" customHeight="true" spans="1:17">
      <c r="A24" s="39"/>
      <c r="B24" s="46"/>
      <c r="C24" s="39"/>
      <c r="D24" s="39" t="s">
        <v>155</v>
      </c>
      <c r="E24" s="55">
        <v>7.3</v>
      </c>
      <c r="F24" s="55">
        <v>6.7</v>
      </c>
      <c r="G24" s="55">
        <v>6.1</v>
      </c>
      <c r="H24" s="55">
        <v>5</v>
      </c>
      <c r="I24" s="55">
        <v>4.5</v>
      </c>
      <c r="J24" s="55">
        <v>3.7</v>
      </c>
      <c r="K24" s="55">
        <v>3.2</v>
      </c>
      <c r="L24" s="59"/>
      <c r="M24" s="59"/>
      <c r="N24" s="59"/>
      <c r="O24" s="59"/>
      <c r="P24" s="62"/>
      <c r="Q24" s="62"/>
    </row>
    <row r="25" ht="20.1" customHeight="true" spans="1:17">
      <c r="A25" s="39" t="s">
        <v>157</v>
      </c>
      <c r="B25" s="46" t="s">
        <v>158</v>
      </c>
      <c r="C25" s="39" t="s">
        <v>159</v>
      </c>
      <c r="D25" s="39"/>
      <c r="E25" s="57" t="s">
        <v>160</v>
      </c>
      <c r="F25" s="58"/>
      <c r="G25" s="58"/>
      <c r="H25" s="58"/>
      <c r="I25" s="58"/>
      <c r="J25" s="58"/>
      <c r="K25" s="58"/>
      <c r="L25" s="58"/>
      <c r="M25" s="58"/>
      <c r="N25" s="58"/>
      <c r="O25" s="64"/>
      <c r="P25" s="62"/>
      <c r="Q25" s="62"/>
    </row>
    <row r="27" ht="15.75" spans="1:1">
      <c r="A27" s="53" t="s">
        <v>161</v>
      </c>
    </row>
    <row r="28" ht="15.75" spans="1:1">
      <c r="A28" s="54" t="s">
        <v>162</v>
      </c>
    </row>
    <row r="29" ht="15.75" spans="1:1">
      <c r="A29" s="53" t="s">
        <v>163</v>
      </c>
    </row>
    <row r="30" ht="15.75" spans="1:1">
      <c r="A30" s="53" t="s">
        <v>164</v>
      </c>
    </row>
    <row r="31" ht="15.75" spans="1:1">
      <c r="A31" s="53" t="s">
        <v>165</v>
      </c>
    </row>
    <row r="32" ht="15.75" spans="1:1">
      <c r="A32" s="53" t="s">
        <v>166</v>
      </c>
    </row>
    <row r="33" ht="15.75" spans="1:1">
      <c r="A33" s="54" t="s">
        <v>167</v>
      </c>
    </row>
    <row r="34" ht="15.75" spans="1:1">
      <c r="A34" s="54" t="s">
        <v>168</v>
      </c>
    </row>
    <row r="35" ht="15.75" spans="1:1">
      <c r="A35" s="54" t="s">
        <v>169</v>
      </c>
    </row>
    <row r="36" ht="15.75" spans="1:1">
      <c r="A36" s="54" t="s">
        <v>170</v>
      </c>
    </row>
    <row r="37" ht="15.75" spans="1:1">
      <c r="A37" s="53" t="s">
        <v>171</v>
      </c>
    </row>
    <row r="38" ht="15.75" spans="1:1">
      <c r="A38" s="53" t="s">
        <v>172</v>
      </c>
    </row>
    <row r="39" ht="15.75" spans="1:1">
      <c r="A39" s="53" t="s">
        <v>173</v>
      </c>
    </row>
    <row r="40" ht="15.75" spans="1:1">
      <c r="A40" s="53" t="s">
        <v>174</v>
      </c>
    </row>
    <row r="41" ht="15.75" spans="1:1">
      <c r="A41" s="54" t="s">
        <v>175</v>
      </c>
    </row>
    <row r="42" ht="15.75" spans="1:1">
      <c r="A42" s="53" t="s">
        <v>176</v>
      </c>
    </row>
    <row r="43" ht="15.75" spans="1:1">
      <c r="A43" s="54" t="s">
        <v>177</v>
      </c>
    </row>
    <row r="44" ht="15.75" spans="1:1">
      <c r="A44" s="53" t="s">
        <v>178</v>
      </c>
    </row>
    <row r="45" ht="15.75" spans="1:1">
      <c r="A45" s="53" t="s">
        <v>179</v>
      </c>
    </row>
    <row r="46" ht="15.75" spans="1:1">
      <c r="A46" s="53" t="s">
        <v>180</v>
      </c>
    </row>
    <row r="47" ht="15.75" spans="1:1">
      <c r="A47" s="53" t="s">
        <v>181</v>
      </c>
    </row>
  </sheetData>
  <sheetProtection password="D59F" sheet="1" selectLockedCells="1"/>
  <mergeCells count="42">
    <mergeCell ref="A1:O1"/>
    <mergeCell ref="E2:O2"/>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5:D25"/>
    <mergeCell ref="E25:O25"/>
    <mergeCell ref="A2:A3"/>
    <mergeCell ref="A4:A5"/>
    <mergeCell ref="A7:A10"/>
    <mergeCell ref="A11:A12"/>
    <mergeCell ref="A13:A14"/>
    <mergeCell ref="A15:A16"/>
    <mergeCell ref="A17:A18"/>
    <mergeCell ref="A19:A20"/>
    <mergeCell ref="A21:A24"/>
    <mergeCell ref="B2:B3"/>
    <mergeCell ref="B4:B5"/>
    <mergeCell ref="B8:B9"/>
    <mergeCell ref="B11:B12"/>
    <mergeCell ref="B13:B14"/>
    <mergeCell ref="B15:B16"/>
    <mergeCell ref="B17:B18"/>
    <mergeCell ref="B19:B20"/>
    <mergeCell ref="B21:B24"/>
    <mergeCell ref="C21:C22"/>
    <mergeCell ref="C23:C24"/>
    <mergeCell ref="C2:D3"/>
  </mergeCells>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117"/>
  <sheetViews>
    <sheetView tabSelected="1" topLeftCell="A83" workbookViewId="0">
      <selection activeCell="G112" sqref="G112"/>
    </sheetView>
  </sheetViews>
  <sheetFormatPr defaultColWidth="9" defaultRowHeight="13.5" outlineLevelCol="5"/>
  <cols>
    <col min="1" max="1" width="10.125" customWidth="true"/>
    <col min="2" max="2" width="30.625" style="1" customWidth="true"/>
    <col min="3" max="3" width="8.625" customWidth="true"/>
    <col min="4" max="6" width="12.625" customWidth="true"/>
    <col min="7" max="7" width="11.5" style="2"/>
  </cols>
  <sheetData>
    <row r="1" ht="15.75" spans="1:6">
      <c r="A1" s="3" t="s">
        <v>182</v>
      </c>
      <c r="B1" s="4"/>
      <c r="C1" s="5"/>
      <c r="D1" s="6"/>
      <c r="E1" s="5"/>
      <c r="F1" s="5"/>
    </row>
    <row r="2" ht="42" customHeight="true" spans="1:6">
      <c r="A2" s="7" t="s">
        <v>183</v>
      </c>
      <c r="B2" s="7"/>
      <c r="C2" s="7"/>
      <c r="D2" s="7"/>
      <c r="E2" s="7"/>
      <c r="F2" s="7"/>
    </row>
    <row r="3" ht="31.5" spans="1:6">
      <c r="A3" s="8" t="s">
        <v>1</v>
      </c>
      <c r="B3" s="8" t="s">
        <v>184</v>
      </c>
      <c r="C3" s="8" t="s">
        <v>4</v>
      </c>
      <c r="D3" s="8" t="s">
        <v>5</v>
      </c>
      <c r="E3" s="8" t="s">
        <v>6</v>
      </c>
      <c r="F3" s="18" t="s">
        <v>185</v>
      </c>
    </row>
    <row r="4" ht="15" customHeight="true" spans="1:6">
      <c r="A4" s="9" t="s">
        <v>9</v>
      </c>
      <c r="B4" s="10" t="s">
        <v>186</v>
      </c>
      <c r="C4" s="9"/>
      <c r="D4" s="9"/>
      <c r="E4" s="9"/>
      <c r="F4" s="19">
        <f>F5+F69+F32</f>
        <v>1303.47</v>
      </c>
    </row>
    <row r="5" spans="1:6">
      <c r="A5" s="11"/>
      <c r="B5" s="12" t="s">
        <v>187</v>
      </c>
      <c r="C5" s="11"/>
      <c r="D5" s="13"/>
      <c r="E5" s="13"/>
      <c r="F5" s="20">
        <f>F6+F9+F24+F30</f>
        <v>438.6</v>
      </c>
    </row>
    <row r="6" spans="1:6">
      <c r="A6" s="14" t="s">
        <v>11</v>
      </c>
      <c r="B6" s="15" t="s">
        <v>13</v>
      </c>
      <c r="C6" s="14"/>
      <c r="D6" s="13"/>
      <c r="E6" s="21"/>
      <c r="F6" s="22">
        <f>F7+F8</f>
        <v>11.79</v>
      </c>
    </row>
    <row r="7" spans="1:6">
      <c r="A7" s="14">
        <v>1</v>
      </c>
      <c r="B7" s="15" t="s">
        <v>188</v>
      </c>
      <c r="C7" s="14" t="s">
        <v>14</v>
      </c>
      <c r="D7" s="13">
        <v>168.3</v>
      </c>
      <c r="E7" s="13">
        <v>200</v>
      </c>
      <c r="F7" s="22">
        <v>3.37</v>
      </c>
    </row>
    <row r="8" spans="1:6">
      <c r="A8" s="14">
        <v>2</v>
      </c>
      <c r="B8" s="15" t="s">
        <v>189</v>
      </c>
      <c r="C8" s="14" t="s">
        <v>14</v>
      </c>
      <c r="D8" s="13">
        <v>168.3</v>
      </c>
      <c r="E8" s="21">
        <v>500</v>
      </c>
      <c r="F8" s="22">
        <v>8.42</v>
      </c>
    </row>
    <row r="9" spans="1:6">
      <c r="A9" s="14" t="s">
        <v>15</v>
      </c>
      <c r="B9" s="15" t="s">
        <v>190</v>
      </c>
      <c r="C9" s="14"/>
      <c r="D9" s="13"/>
      <c r="E9" s="21"/>
      <c r="F9" s="22">
        <v>341.98</v>
      </c>
    </row>
    <row r="10" spans="1:6">
      <c r="A10" s="14" t="s">
        <v>17</v>
      </c>
      <c r="B10" s="15" t="s">
        <v>191</v>
      </c>
      <c r="C10" s="14" t="s">
        <v>19</v>
      </c>
      <c r="D10" s="13">
        <v>3</v>
      </c>
      <c r="E10" s="21"/>
      <c r="F10" s="22">
        <v>44.67</v>
      </c>
    </row>
    <row r="11" spans="1:6">
      <c r="A11" s="14" t="s">
        <v>100</v>
      </c>
      <c r="B11" s="15" t="s">
        <v>192</v>
      </c>
      <c r="C11" s="14" t="s">
        <v>24</v>
      </c>
      <c r="D11" s="13">
        <v>1</v>
      </c>
      <c r="E11" s="21">
        <v>41000</v>
      </c>
      <c r="F11" s="22">
        <v>4.1</v>
      </c>
    </row>
    <row r="12" spans="1:6">
      <c r="A12" s="14" t="s">
        <v>102</v>
      </c>
      <c r="B12" s="15" t="s">
        <v>193</v>
      </c>
      <c r="C12" s="14" t="s">
        <v>24</v>
      </c>
      <c r="D12" s="13">
        <v>1</v>
      </c>
      <c r="E12" s="21">
        <v>168000</v>
      </c>
      <c r="F12" s="22">
        <v>16.8</v>
      </c>
    </row>
    <row r="13" spans="1:6">
      <c r="A13" s="14" t="s">
        <v>194</v>
      </c>
      <c r="B13" s="15" t="s">
        <v>195</v>
      </c>
      <c r="C13" s="14" t="s">
        <v>24</v>
      </c>
      <c r="D13" s="13">
        <v>1</v>
      </c>
      <c r="E13" s="21">
        <v>237700</v>
      </c>
      <c r="F13" s="22">
        <v>23.77</v>
      </c>
    </row>
    <row r="14" spans="1:6">
      <c r="A14" s="14" t="s">
        <v>20</v>
      </c>
      <c r="B14" s="15" t="s">
        <v>26</v>
      </c>
      <c r="C14" s="14"/>
      <c r="D14" s="13"/>
      <c r="E14" s="21"/>
      <c r="F14" s="22">
        <f>F15+F16</f>
        <v>29.41</v>
      </c>
    </row>
    <row r="15" spans="1:6">
      <c r="A15" s="14" t="s">
        <v>100</v>
      </c>
      <c r="B15" s="15" t="s">
        <v>196</v>
      </c>
      <c r="C15" s="14" t="s">
        <v>29</v>
      </c>
      <c r="D15" s="13">
        <v>707</v>
      </c>
      <c r="E15" s="21">
        <v>384.11</v>
      </c>
      <c r="F15" s="22">
        <v>27.16</v>
      </c>
    </row>
    <row r="16" spans="1:6">
      <c r="A16" s="14" t="s">
        <v>102</v>
      </c>
      <c r="B16" s="15" t="s">
        <v>197</v>
      </c>
      <c r="C16" s="14" t="s">
        <v>19</v>
      </c>
      <c r="D16" s="13">
        <v>4</v>
      </c>
      <c r="E16" s="21">
        <v>5614.41</v>
      </c>
      <c r="F16" s="22">
        <v>2.25</v>
      </c>
    </row>
    <row r="17" spans="1:6">
      <c r="A17" s="14">
        <v>3</v>
      </c>
      <c r="B17" s="15" t="s">
        <v>198</v>
      </c>
      <c r="C17" s="14"/>
      <c r="D17" s="13"/>
      <c r="E17" s="21"/>
      <c r="F17" s="22">
        <f>SUM(F18:F23)</f>
        <v>267.9</v>
      </c>
    </row>
    <row r="18" spans="1:6">
      <c r="A18" s="14" t="s">
        <v>100</v>
      </c>
      <c r="B18" s="15" t="s">
        <v>199</v>
      </c>
      <c r="C18" s="14" t="s">
        <v>29</v>
      </c>
      <c r="D18" s="13">
        <v>3004</v>
      </c>
      <c r="E18" s="21">
        <v>379.3</v>
      </c>
      <c r="F18" s="22">
        <v>113.94</v>
      </c>
    </row>
    <row r="19" spans="1:6">
      <c r="A19" s="14" t="s">
        <v>102</v>
      </c>
      <c r="B19" s="15" t="s">
        <v>200</v>
      </c>
      <c r="C19" s="14" t="s">
        <v>29</v>
      </c>
      <c r="D19" s="13">
        <v>8958</v>
      </c>
      <c r="E19" s="21">
        <v>67.48</v>
      </c>
      <c r="F19" s="22">
        <v>60.45</v>
      </c>
    </row>
    <row r="20" spans="1:6">
      <c r="A20" s="14" t="s">
        <v>194</v>
      </c>
      <c r="B20" s="15" t="s">
        <v>201</v>
      </c>
      <c r="C20" s="14" t="s">
        <v>19</v>
      </c>
      <c r="D20" s="13">
        <v>120</v>
      </c>
      <c r="E20" s="21">
        <v>3429.62</v>
      </c>
      <c r="F20" s="22">
        <v>41.16</v>
      </c>
    </row>
    <row r="21" spans="1:6">
      <c r="A21" s="14" t="s">
        <v>202</v>
      </c>
      <c r="B21" s="15" t="s">
        <v>203</v>
      </c>
      <c r="C21" s="14" t="s">
        <v>29</v>
      </c>
      <c r="D21" s="13">
        <v>100.76</v>
      </c>
      <c r="E21" s="21">
        <v>492.22</v>
      </c>
      <c r="F21" s="22">
        <v>4.96</v>
      </c>
    </row>
    <row r="22" spans="1:6">
      <c r="A22" s="14" t="s">
        <v>204</v>
      </c>
      <c r="B22" s="15" t="s">
        <v>205</v>
      </c>
      <c r="C22" s="14" t="s">
        <v>206</v>
      </c>
      <c r="D22" s="13">
        <v>331</v>
      </c>
      <c r="E22" s="21">
        <v>173.64</v>
      </c>
      <c r="F22" s="22">
        <v>5.75</v>
      </c>
    </row>
    <row r="23" spans="1:6">
      <c r="A23" s="14" t="s">
        <v>207</v>
      </c>
      <c r="B23" s="15" t="s">
        <v>208</v>
      </c>
      <c r="C23" s="14" t="s">
        <v>206</v>
      </c>
      <c r="D23" s="13">
        <v>49</v>
      </c>
      <c r="E23" s="21">
        <v>8498.57</v>
      </c>
      <c r="F23" s="22">
        <v>41.64</v>
      </c>
    </row>
    <row r="24" spans="1:6">
      <c r="A24" s="14" t="s">
        <v>58</v>
      </c>
      <c r="B24" s="15" t="s">
        <v>209</v>
      </c>
      <c r="C24" s="14"/>
      <c r="D24" s="13"/>
      <c r="E24" s="21"/>
      <c r="F24" s="22">
        <f>SUM(F25:F29)</f>
        <v>84.5</v>
      </c>
    </row>
    <row r="25" spans="1:6">
      <c r="A25" s="14" t="s">
        <v>17</v>
      </c>
      <c r="B25" s="15" t="s">
        <v>210</v>
      </c>
      <c r="C25" s="14" t="s">
        <v>211</v>
      </c>
      <c r="D25" s="13">
        <v>292.5</v>
      </c>
      <c r="E25" s="21">
        <v>222.21</v>
      </c>
      <c r="F25" s="22">
        <v>6.5</v>
      </c>
    </row>
    <row r="26" spans="1:6">
      <c r="A26" s="14" t="s">
        <v>20</v>
      </c>
      <c r="B26" s="15" t="s">
        <v>212</v>
      </c>
      <c r="C26" s="14" t="s">
        <v>211</v>
      </c>
      <c r="D26" s="13">
        <v>1302</v>
      </c>
      <c r="E26" s="21">
        <v>221.31</v>
      </c>
      <c r="F26" s="22">
        <v>28.81</v>
      </c>
    </row>
    <row r="27" spans="1:6">
      <c r="A27" s="14" t="s">
        <v>22</v>
      </c>
      <c r="B27" s="15" t="s">
        <v>213</v>
      </c>
      <c r="C27" s="14" t="s">
        <v>211</v>
      </c>
      <c r="D27" s="13">
        <v>1627.5</v>
      </c>
      <c r="E27" s="21">
        <v>220.67</v>
      </c>
      <c r="F27" s="22">
        <v>35.91</v>
      </c>
    </row>
    <row r="28" spans="1:6">
      <c r="A28" s="14" t="s">
        <v>25</v>
      </c>
      <c r="B28" s="15" t="s">
        <v>214</v>
      </c>
      <c r="C28" s="14" t="s">
        <v>211</v>
      </c>
      <c r="D28" s="13">
        <v>420</v>
      </c>
      <c r="E28" s="21">
        <v>219.05</v>
      </c>
      <c r="F28" s="22">
        <v>9.2</v>
      </c>
    </row>
    <row r="29" spans="1:6">
      <c r="A29" s="14" t="s">
        <v>50</v>
      </c>
      <c r="B29" s="15" t="s">
        <v>215</v>
      </c>
      <c r="C29" s="14" t="s">
        <v>211</v>
      </c>
      <c r="D29" s="13">
        <v>132</v>
      </c>
      <c r="E29" s="21">
        <v>309.38</v>
      </c>
      <c r="F29" s="22">
        <v>4.08</v>
      </c>
    </row>
    <row r="30" spans="1:6">
      <c r="A30" s="14" t="s">
        <v>216</v>
      </c>
      <c r="B30" s="15" t="s">
        <v>217</v>
      </c>
      <c r="C30" s="14"/>
      <c r="D30" s="13"/>
      <c r="E30" s="21"/>
      <c r="F30" s="22">
        <v>0.33</v>
      </c>
    </row>
    <row r="31" spans="1:6">
      <c r="A31" s="14">
        <v>1</v>
      </c>
      <c r="B31" s="15" t="s">
        <v>217</v>
      </c>
      <c r="C31" s="14" t="s">
        <v>76</v>
      </c>
      <c r="D31" s="13">
        <v>1</v>
      </c>
      <c r="E31" s="21">
        <v>3333.33</v>
      </c>
      <c r="F31" s="22">
        <v>0.33</v>
      </c>
    </row>
    <row r="32" spans="1:6">
      <c r="A32" s="11"/>
      <c r="B32" s="12" t="s">
        <v>218</v>
      </c>
      <c r="C32" s="11"/>
      <c r="D32" s="13"/>
      <c r="E32" s="21"/>
      <c r="F32" s="20">
        <f>F33+F36+F62+F67</f>
        <v>517.41</v>
      </c>
    </row>
    <row r="33" spans="1:6">
      <c r="A33" s="14" t="s">
        <v>11</v>
      </c>
      <c r="B33" s="15" t="s">
        <v>13</v>
      </c>
      <c r="C33" s="14"/>
      <c r="D33" s="13"/>
      <c r="E33" s="21"/>
      <c r="F33" s="22">
        <f>F34+F35</f>
        <v>24.86</v>
      </c>
    </row>
    <row r="34" spans="1:6">
      <c r="A34" s="14">
        <v>1</v>
      </c>
      <c r="B34" s="15" t="s">
        <v>188</v>
      </c>
      <c r="C34" s="14" t="s">
        <v>14</v>
      </c>
      <c r="D34" s="13">
        <v>355.2</v>
      </c>
      <c r="E34" s="21">
        <v>200</v>
      </c>
      <c r="F34" s="22">
        <v>7.1</v>
      </c>
    </row>
    <row r="35" spans="1:6">
      <c r="A35" s="14">
        <v>2</v>
      </c>
      <c r="B35" s="15" t="s">
        <v>189</v>
      </c>
      <c r="C35" s="14" t="s">
        <v>14</v>
      </c>
      <c r="D35" s="13">
        <v>355.2</v>
      </c>
      <c r="E35" s="21">
        <v>500</v>
      </c>
      <c r="F35" s="22">
        <v>17.76</v>
      </c>
    </row>
    <row r="36" spans="1:6">
      <c r="A36" s="14" t="s">
        <v>15</v>
      </c>
      <c r="B36" s="15" t="s">
        <v>190</v>
      </c>
      <c r="C36" s="14"/>
      <c r="D36" s="13"/>
      <c r="E36" s="21"/>
      <c r="F36" s="22">
        <f>F37+F42+F50</f>
        <v>441.51</v>
      </c>
    </row>
    <row r="37" spans="1:6">
      <c r="A37" s="14" t="s">
        <v>17</v>
      </c>
      <c r="B37" s="15" t="s">
        <v>191</v>
      </c>
      <c r="C37" s="14" t="s">
        <v>19</v>
      </c>
      <c r="D37" s="13">
        <v>3</v>
      </c>
      <c r="E37" s="21"/>
      <c r="F37" s="22">
        <f>SUM(F38:F41)</f>
        <v>57.97</v>
      </c>
    </row>
    <row r="38" spans="1:6">
      <c r="A38" s="14" t="s">
        <v>100</v>
      </c>
      <c r="B38" s="15" t="s">
        <v>219</v>
      </c>
      <c r="C38" s="14" t="s">
        <v>24</v>
      </c>
      <c r="D38" s="13">
        <v>1</v>
      </c>
      <c r="E38" s="21">
        <v>291800</v>
      </c>
      <c r="F38" s="22">
        <v>29.18</v>
      </c>
    </row>
    <row r="39" spans="1:6">
      <c r="A39" s="14" t="s">
        <v>102</v>
      </c>
      <c r="B39" s="15" t="s">
        <v>220</v>
      </c>
      <c r="C39" s="14" t="s">
        <v>24</v>
      </c>
      <c r="D39" s="13">
        <v>1</v>
      </c>
      <c r="E39" s="21">
        <v>172800</v>
      </c>
      <c r="F39" s="22">
        <v>17.28</v>
      </c>
    </row>
    <row r="40" spans="1:6">
      <c r="A40" s="14" t="s">
        <v>194</v>
      </c>
      <c r="B40" s="15" t="s">
        <v>221</v>
      </c>
      <c r="C40" s="14" t="s">
        <v>24</v>
      </c>
      <c r="D40" s="13">
        <v>1</v>
      </c>
      <c r="E40" s="21">
        <v>26200</v>
      </c>
      <c r="F40" s="22">
        <v>2.62</v>
      </c>
    </row>
    <row r="41" spans="1:6">
      <c r="A41" s="14" t="s">
        <v>202</v>
      </c>
      <c r="B41" s="15" t="s">
        <v>222</v>
      </c>
      <c r="C41" s="14" t="s">
        <v>24</v>
      </c>
      <c r="D41" s="13">
        <v>1</v>
      </c>
      <c r="E41" s="21">
        <v>88900</v>
      </c>
      <c r="F41" s="22">
        <v>8.89</v>
      </c>
    </row>
    <row r="42" spans="1:6">
      <c r="A42" s="14" t="s">
        <v>20</v>
      </c>
      <c r="B42" s="15" t="s">
        <v>26</v>
      </c>
      <c r="C42" s="14"/>
      <c r="D42" s="13"/>
      <c r="E42" s="21"/>
      <c r="F42" s="22">
        <f>F43+F44+F47</f>
        <v>45.84</v>
      </c>
    </row>
    <row r="43" spans="1:6">
      <c r="A43" s="14" t="s">
        <v>100</v>
      </c>
      <c r="B43" s="15" t="s">
        <v>223</v>
      </c>
      <c r="C43" s="14" t="s">
        <v>29</v>
      </c>
      <c r="D43" s="16">
        <v>91</v>
      </c>
      <c r="E43" s="21">
        <v>2627.73</v>
      </c>
      <c r="F43" s="22">
        <v>23.91</v>
      </c>
    </row>
    <row r="44" spans="1:6">
      <c r="A44" s="14" t="s">
        <v>102</v>
      </c>
      <c r="B44" s="15" t="s">
        <v>224</v>
      </c>
      <c r="C44" s="14" t="s">
        <v>19</v>
      </c>
      <c r="D44" s="16">
        <v>2</v>
      </c>
      <c r="E44" s="21"/>
      <c r="F44" s="22">
        <f>F45+F46</f>
        <v>1</v>
      </c>
    </row>
    <row r="45" spans="1:6">
      <c r="A45" s="14"/>
      <c r="B45" s="15" t="s">
        <v>225</v>
      </c>
      <c r="C45" s="14" t="s">
        <v>19</v>
      </c>
      <c r="D45" s="16">
        <v>1</v>
      </c>
      <c r="E45" s="21">
        <v>4655.78</v>
      </c>
      <c r="F45" s="22">
        <v>0.47</v>
      </c>
    </row>
    <row r="46" spans="1:6">
      <c r="A46" s="14"/>
      <c r="B46" s="15" t="s">
        <v>226</v>
      </c>
      <c r="C46" s="14" t="s">
        <v>19</v>
      </c>
      <c r="D46" s="16">
        <v>1</v>
      </c>
      <c r="E46" s="21">
        <v>5261.47</v>
      </c>
      <c r="F46" s="22">
        <v>0.53</v>
      </c>
    </row>
    <row r="47" spans="1:6">
      <c r="A47" s="14" t="s">
        <v>32</v>
      </c>
      <c r="B47" s="15" t="s">
        <v>227</v>
      </c>
      <c r="C47" s="14" t="s">
        <v>19</v>
      </c>
      <c r="D47" s="16">
        <v>2</v>
      </c>
      <c r="E47" s="21"/>
      <c r="F47" s="22">
        <f>F48+F49</f>
        <v>20.93</v>
      </c>
    </row>
    <row r="48" spans="1:6">
      <c r="A48" s="14"/>
      <c r="B48" s="15" t="s">
        <v>228</v>
      </c>
      <c r="C48" s="14" t="s">
        <v>29</v>
      </c>
      <c r="D48" s="16">
        <v>60</v>
      </c>
      <c r="E48" s="21">
        <v>3005.12</v>
      </c>
      <c r="F48" s="22">
        <v>18.03</v>
      </c>
    </row>
    <row r="49" spans="1:6">
      <c r="A49" s="14"/>
      <c r="B49" s="15" t="s">
        <v>229</v>
      </c>
      <c r="C49" s="14" t="s">
        <v>19</v>
      </c>
      <c r="D49" s="16">
        <v>4</v>
      </c>
      <c r="E49" s="21">
        <v>7261.72</v>
      </c>
      <c r="F49" s="22">
        <v>2.9</v>
      </c>
    </row>
    <row r="50" spans="1:6">
      <c r="A50" s="14">
        <v>3</v>
      </c>
      <c r="B50" s="15" t="s">
        <v>198</v>
      </c>
      <c r="C50" s="14"/>
      <c r="D50" s="16"/>
      <c r="E50" s="21"/>
      <c r="F50" s="22">
        <f>SUM(F51:F57,F61)</f>
        <v>337.7</v>
      </c>
    </row>
    <row r="51" spans="1:6">
      <c r="A51" s="14" t="s">
        <v>100</v>
      </c>
      <c r="B51" s="15" t="s">
        <v>199</v>
      </c>
      <c r="C51" s="14" t="s">
        <v>29</v>
      </c>
      <c r="D51" s="16">
        <v>2645</v>
      </c>
      <c r="E51" s="21">
        <v>379.3</v>
      </c>
      <c r="F51" s="22">
        <v>100.32</v>
      </c>
    </row>
    <row r="52" spans="1:6">
      <c r="A52" s="14" t="s">
        <v>102</v>
      </c>
      <c r="B52" s="15" t="s">
        <v>200</v>
      </c>
      <c r="C52" s="14" t="s">
        <v>29</v>
      </c>
      <c r="D52" s="16">
        <v>9269</v>
      </c>
      <c r="E52" s="21">
        <v>67.48</v>
      </c>
      <c r="F52" s="22">
        <v>62.55</v>
      </c>
    </row>
    <row r="53" spans="1:6">
      <c r="A53" s="14" t="s">
        <v>194</v>
      </c>
      <c r="B53" s="15" t="s">
        <v>201</v>
      </c>
      <c r="C53" s="14" t="s">
        <v>19</v>
      </c>
      <c r="D53" s="16">
        <v>119</v>
      </c>
      <c r="E53" s="21">
        <v>3429.62</v>
      </c>
      <c r="F53" s="22">
        <v>40.81</v>
      </c>
    </row>
    <row r="54" spans="1:6">
      <c r="A54" s="14" t="s">
        <v>202</v>
      </c>
      <c r="B54" s="15" t="s">
        <v>230</v>
      </c>
      <c r="C54" s="14" t="s">
        <v>29</v>
      </c>
      <c r="D54" s="16">
        <v>100.76</v>
      </c>
      <c r="E54" s="21">
        <v>492.22</v>
      </c>
      <c r="F54" s="22">
        <v>4.96</v>
      </c>
    </row>
    <row r="55" spans="1:6">
      <c r="A55" s="14" t="s">
        <v>204</v>
      </c>
      <c r="B55" s="15" t="s">
        <v>208</v>
      </c>
      <c r="C55" s="14" t="s">
        <v>206</v>
      </c>
      <c r="D55" s="16">
        <v>52</v>
      </c>
      <c r="E55" s="21">
        <v>8498.57</v>
      </c>
      <c r="F55" s="22">
        <v>44.19</v>
      </c>
    </row>
    <row r="56" spans="1:6">
      <c r="A56" s="14" t="s">
        <v>207</v>
      </c>
      <c r="B56" s="15" t="s">
        <v>205</v>
      </c>
      <c r="C56" s="14" t="s">
        <v>206</v>
      </c>
      <c r="D56" s="16">
        <v>523</v>
      </c>
      <c r="E56" s="21">
        <v>173.64</v>
      </c>
      <c r="F56" s="22">
        <v>9.08</v>
      </c>
    </row>
    <row r="57" spans="1:6">
      <c r="A57" s="14" t="s">
        <v>231</v>
      </c>
      <c r="B57" s="15" t="s">
        <v>232</v>
      </c>
      <c r="C57" s="14" t="s">
        <v>206</v>
      </c>
      <c r="D57" s="16">
        <v>3</v>
      </c>
      <c r="E57" s="21"/>
      <c r="F57" s="22">
        <f>SUM(F58:F60)</f>
        <v>2.78</v>
      </c>
    </row>
    <row r="58" spans="1:6">
      <c r="A58" s="14"/>
      <c r="B58" s="15" t="s">
        <v>233</v>
      </c>
      <c r="C58" s="14" t="s">
        <v>29</v>
      </c>
      <c r="D58" s="17">
        <v>13.5</v>
      </c>
      <c r="E58" s="21">
        <v>542.89</v>
      </c>
      <c r="F58" s="22">
        <v>0.73</v>
      </c>
    </row>
    <row r="59" spans="1:6">
      <c r="A59" s="14"/>
      <c r="B59" s="15" t="s">
        <v>234</v>
      </c>
      <c r="C59" s="14" t="s">
        <v>19</v>
      </c>
      <c r="D59" s="17">
        <v>3</v>
      </c>
      <c r="E59" s="21">
        <v>2674.28</v>
      </c>
      <c r="F59" s="22">
        <v>0.8</v>
      </c>
    </row>
    <row r="60" spans="1:6">
      <c r="A60" s="14"/>
      <c r="B60" s="15" t="s">
        <v>235</v>
      </c>
      <c r="C60" s="14" t="s">
        <v>19</v>
      </c>
      <c r="D60" s="17">
        <v>3</v>
      </c>
      <c r="E60" s="21">
        <v>4180.68</v>
      </c>
      <c r="F60" s="22">
        <v>1.25</v>
      </c>
    </row>
    <row r="61" spans="1:6">
      <c r="A61" s="14" t="s">
        <v>236</v>
      </c>
      <c r="B61" s="15" t="s">
        <v>237</v>
      </c>
      <c r="C61" s="14" t="s">
        <v>14</v>
      </c>
      <c r="D61" s="17">
        <v>87.5</v>
      </c>
      <c r="E61" s="21">
        <v>8344.23</v>
      </c>
      <c r="F61" s="22">
        <v>73.01</v>
      </c>
    </row>
    <row r="62" spans="1:6">
      <c r="A62" s="14" t="s">
        <v>58</v>
      </c>
      <c r="B62" s="15" t="s">
        <v>209</v>
      </c>
      <c r="C62" s="14"/>
      <c r="D62" s="17"/>
      <c r="E62" s="21"/>
      <c r="F62" s="22">
        <f>SUM(F63:F66)</f>
        <v>50.71</v>
      </c>
    </row>
    <row r="63" spans="1:6">
      <c r="A63" s="14" t="s">
        <v>17</v>
      </c>
      <c r="B63" s="15" t="s">
        <v>210</v>
      </c>
      <c r="C63" s="14" t="s">
        <v>211</v>
      </c>
      <c r="D63" s="17">
        <v>1945</v>
      </c>
      <c r="E63" s="21">
        <v>222.21</v>
      </c>
      <c r="F63" s="22">
        <v>43.22</v>
      </c>
    </row>
    <row r="64" spans="1:6">
      <c r="A64" s="14" t="s">
        <v>20</v>
      </c>
      <c r="B64" s="15" t="s">
        <v>238</v>
      </c>
      <c r="C64" s="14" t="s">
        <v>211</v>
      </c>
      <c r="D64" s="17">
        <v>153</v>
      </c>
      <c r="E64" s="21">
        <v>196.9</v>
      </c>
      <c r="F64" s="22">
        <v>3.01</v>
      </c>
    </row>
    <row r="65" spans="1:6">
      <c r="A65" s="14" t="s">
        <v>22</v>
      </c>
      <c r="B65" s="15" t="s">
        <v>215</v>
      </c>
      <c r="C65" s="14" t="s">
        <v>211</v>
      </c>
      <c r="D65" s="17">
        <v>132</v>
      </c>
      <c r="E65" s="21">
        <v>309.38</v>
      </c>
      <c r="F65" s="22">
        <v>4.08</v>
      </c>
    </row>
    <row r="66" spans="1:6">
      <c r="A66" s="14" t="s">
        <v>25</v>
      </c>
      <c r="B66" s="15" t="s">
        <v>239</v>
      </c>
      <c r="C66" s="14" t="s">
        <v>211</v>
      </c>
      <c r="D66" s="17">
        <v>13</v>
      </c>
      <c r="E66" s="21">
        <v>311.21</v>
      </c>
      <c r="F66" s="22">
        <v>0.4</v>
      </c>
    </row>
    <row r="67" spans="1:6">
      <c r="A67" s="14" t="s">
        <v>216</v>
      </c>
      <c r="B67" s="15" t="s">
        <v>217</v>
      </c>
      <c r="C67" s="14"/>
      <c r="D67" s="17"/>
      <c r="E67" s="21"/>
      <c r="F67" s="22">
        <v>0.33</v>
      </c>
    </row>
    <row r="68" spans="1:6">
      <c r="A68" s="14">
        <v>1</v>
      </c>
      <c r="B68" s="15" t="s">
        <v>217</v>
      </c>
      <c r="C68" s="14" t="s">
        <v>76</v>
      </c>
      <c r="D68" s="17">
        <v>1</v>
      </c>
      <c r="E68" s="21">
        <v>3333.33</v>
      </c>
      <c r="F68" s="22">
        <v>0.33</v>
      </c>
    </row>
    <row r="69" spans="1:6">
      <c r="A69" s="11"/>
      <c r="B69" s="12" t="s">
        <v>240</v>
      </c>
      <c r="C69" s="11"/>
      <c r="D69" s="17"/>
      <c r="E69" s="21"/>
      <c r="F69" s="34">
        <f>F70+F73+F100+F107</f>
        <v>347.46</v>
      </c>
    </row>
    <row r="70" spans="1:6">
      <c r="A70" s="14" t="s">
        <v>11</v>
      </c>
      <c r="B70" s="15" t="s">
        <v>13</v>
      </c>
      <c r="C70" s="14"/>
      <c r="D70" s="17"/>
      <c r="E70" s="21"/>
      <c r="F70" s="22">
        <f>F71+F72</f>
        <v>17.81</v>
      </c>
    </row>
    <row r="71" spans="1:6">
      <c r="A71" s="14">
        <v>1</v>
      </c>
      <c r="B71" s="15" t="s">
        <v>188</v>
      </c>
      <c r="C71" s="14" t="s">
        <v>14</v>
      </c>
      <c r="D71" s="17">
        <v>254.3</v>
      </c>
      <c r="E71" s="21">
        <v>200</v>
      </c>
      <c r="F71" s="22">
        <v>5.09</v>
      </c>
    </row>
    <row r="72" spans="1:6">
      <c r="A72" s="14">
        <v>2</v>
      </c>
      <c r="B72" s="15" t="s">
        <v>189</v>
      </c>
      <c r="C72" s="14" t="s">
        <v>14</v>
      </c>
      <c r="D72" s="17">
        <v>254.3</v>
      </c>
      <c r="E72" s="21">
        <v>500</v>
      </c>
      <c r="F72" s="22">
        <v>12.72</v>
      </c>
    </row>
    <row r="73" spans="1:6">
      <c r="A73" s="14" t="s">
        <v>15</v>
      </c>
      <c r="B73" s="15" t="s">
        <v>190</v>
      </c>
      <c r="C73" s="14"/>
      <c r="D73" s="17"/>
      <c r="E73" s="21"/>
      <c r="F73" s="22">
        <v>271.09</v>
      </c>
    </row>
    <row r="74" spans="1:6">
      <c r="A74" s="14" t="s">
        <v>17</v>
      </c>
      <c r="B74" s="15" t="s">
        <v>191</v>
      </c>
      <c r="C74" s="14" t="s">
        <v>19</v>
      </c>
      <c r="D74" s="17">
        <v>2</v>
      </c>
      <c r="E74" s="21"/>
      <c r="F74" s="22">
        <f>F75+F76</f>
        <v>32.93</v>
      </c>
    </row>
    <row r="75" spans="1:6">
      <c r="A75" s="14" t="s">
        <v>100</v>
      </c>
      <c r="B75" s="15" t="s">
        <v>241</v>
      </c>
      <c r="C75" s="14" t="s">
        <v>24</v>
      </c>
      <c r="D75" s="17">
        <v>1</v>
      </c>
      <c r="E75" s="21">
        <v>163000</v>
      </c>
      <c r="F75" s="22">
        <v>16.3</v>
      </c>
    </row>
    <row r="76" spans="1:6">
      <c r="A76" s="14" t="s">
        <v>102</v>
      </c>
      <c r="B76" s="15" t="s">
        <v>242</v>
      </c>
      <c r="C76" s="14" t="s">
        <v>24</v>
      </c>
      <c r="D76" s="17">
        <v>1</v>
      </c>
      <c r="E76" s="21">
        <v>166300</v>
      </c>
      <c r="F76" s="22">
        <v>16.63</v>
      </c>
    </row>
    <row r="77" spans="1:6">
      <c r="A77" s="14" t="s">
        <v>20</v>
      </c>
      <c r="B77" s="15" t="s">
        <v>26</v>
      </c>
      <c r="C77" s="14"/>
      <c r="D77" s="17"/>
      <c r="E77" s="21"/>
      <c r="F77" s="22">
        <f>SUM(F78:F80,F85,F84,F89)</f>
        <v>56.06</v>
      </c>
    </row>
    <row r="78" spans="1:6">
      <c r="A78" s="14" t="s">
        <v>100</v>
      </c>
      <c r="B78" s="15" t="s">
        <v>243</v>
      </c>
      <c r="C78" s="14" t="s">
        <v>29</v>
      </c>
      <c r="D78" s="17">
        <v>431</v>
      </c>
      <c r="E78" s="21">
        <v>789.51</v>
      </c>
      <c r="F78" s="22">
        <v>34.03</v>
      </c>
    </row>
    <row r="79" spans="1:6">
      <c r="A79" s="14" t="s">
        <v>102</v>
      </c>
      <c r="B79" s="15" t="s">
        <v>244</v>
      </c>
      <c r="C79" s="14" t="s">
        <v>29</v>
      </c>
      <c r="D79" s="17">
        <v>31</v>
      </c>
      <c r="E79" s="21">
        <v>542.89</v>
      </c>
      <c r="F79" s="22">
        <v>1.68</v>
      </c>
    </row>
    <row r="80" spans="1:6">
      <c r="A80" s="14" t="s">
        <v>194</v>
      </c>
      <c r="B80" s="15" t="s">
        <v>224</v>
      </c>
      <c r="C80" s="14" t="s">
        <v>19</v>
      </c>
      <c r="D80" s="17">
        <v>5</v>
      </c>
      <c r="E80" s="21"/>
      <c r="F80" s="22">
        <f>SUM(F81:F83)</f>
        <v>2.45</v>
      </c>
    </row>
    <row r="81" spans="1:6">
      <c r="A81" s="14"/>
      <c r="B81" s="15" t="s">
        <v>225</v>
      </c>
      <c r="C81" s="14" t="s">
        <v>19</v>
      </c>
      <c r="D81" s="17">
        <v>1</v>
      </c>
      <c r="E81" s="21">
        <v>4655.78</v>
      </c>
      <c r="F81" s="22">
        <v>0.47</v>
      </c>
    </row>
    <row r="82" spans="1:6">
      <c r="A82" s="14"/>
      <c r="B82" s="15" t="s">
        <v>226</v>
      </c>
      <c r="C82" s="14" t="s">
        <v>19</v>
      </c>
      <c r="D82" s="17">
        <v>2</v>
      </c>
      <c r="E82" s="21">
        <v>5261.47</v>
      </c>
      <c r="F82" s="22">
        <v>1.05</v>
      </c>
    </row>
    <row r="83" spans="1:6">
      <c r="A83" s="14"/>
      <c r="B83" s="15" t="s">
        <v>245</v>
      </c>
      <c r="C83" s="14" t="s">
        <v>19</v>
      </c>
      <c r="D83" s="17">
        <v>2</v>
      </c>
      <c r="E83" s="21">
        <v>4655.78</v>
      </c>
      <c r="F83" s="22">
        <v>0.93</v>
      </c>
    </row>
    <row r="84" spans="1:6">
      <c r="A84" s="14" t="s">
        <v>202</v>
      </c>
      <c r="B84" s="15" t="s">
        <v>246</v>
      </c>
      <c r="C84" s="14" t="s">
        <v>19</v>
      </c>
      <c r="D84" s="17">
        <v>6</v>
      </c>
      <c r="E84" s="21">
        <v>1268.28</v>
      </c>
      <c r="F84" s="22">
        <v>0.76</v>
      </c>
    </row>
    <row r="85" spans="1:6">
      <c r="A85" s="14" t="s">
        <v>36</v>
      </c>
      <c r="B85" s="15" t="s">
        <v>247</v>
      </c>
      <c r="C85" s="14" t="s">
        <v>19</v>
      </c>
      <c r="D85" s="17">
        <v>3</v>
      </c>
      <c r="E85" s="21"/>
      <c r="F85" s="22">
        <f>SUM(F86:F88)</f>
        <v>7.23</v>
      </c>
    </row>
    <row r="86" spans="1:6">
      <c r="A86" s="14"/>
      <c r="B86" s="15" t="s">
        <v>248</v>
      </c>
      <c r="C86" s="14" t="s">
        <v>29</v>
      </c>
      <c r="D86" s="17">
        <v>30</v>
      </c>
      <c r="E86" s="21">
        <v>1236.38</v>
      </c>
      <c r="F86" s="22">
        <v>3.71</v>
      </c>
    </row>
    <row r="87" spans="1:6">
      <c r="A87" s="14"/>
      <c r="B87" s="15" t="s">
        <v>249</v>
      </c>
      <c r="C87" s="14" t="s">
        <v>19</v>
      </c>
      <c r="D87" s="17">
        <v>3</v>
      </c>
      <c r="E87" s="21">
        <v>5808.93</v>
      </c>
      <c r="F87" s="22">
        <v>1.74</v>
      </c>
    </row>
    <row r="88" spans="1:6">
      <c r="A88" s="14"/>
      <c r="B88" s="15" t="s">
        <v>250</v>
      </c>
      <c r="C88" s="14" t="s">
        <v>19</v>
      </c>
      <c r="D88" s="17">
        <v>3</v>
      </c>
      <c r="E88" s="21">
        <v>5939.92</v>
      </c>
      <c r="F88" s="22">
        <v>1.78</v>
      </c>
    </row>
    <row r="89" spans="1:6">
      <c r="A89" s="14" t="s">
        <v>38</v>
      </c>
      <c r="B89" s="15" t="s">
        <v>227</v>
      </c>
      <c r="C89" s="14" t="s">
        <v>19</v>
      </c>
      <c r="D89" s="17">
        <v>1</v>
      </c>
      <c r="E89" s="21"/>
      <c r="F89" s="22">
        <f>F90+F91</f>
        <v>9.91</v>
      </c>
    </row>
    <row r="90" spans="1:6">
      <c r="A90" s="14"/>
      <c r="B90" s="15" t="s">
        <v>251</v>
      </c>
      <c r="C90" s="14" t="s">
        <v>29</v>
      </c>
      <c r="D90" s="17">
        <v>30</v>
      </c>
      <c r="E90" s="21">
        <v>2821.02</v>
      </c>
      <c r="F90" s="22">
        <v>8.46</v>
      </c>
    </row>
    <row r="91" spans="1:6">
      <c r="A91" s="14"/>
      <c r="B91" s="15" t="s">
        <v>229</v>
      </c>
      <c r="C91" s="14" t="s">
        <v>19</v>
      </c>
      <c r="D91" s="17">
        <v>2</v>
      </c>
      <c r="E91" s="21">
        <v>7261.72</v>
      </c>
      <c r="F91" s="22">
        <v>1.45</v>
      </c>
    </row>
    <row r="92" spans="1:6">
      <c r="A92" s="14" t="s">
        <v>22</v>
      </c>
      <c r="B92" s="15" t="s">
        <v>198</v>
      </c>
      <c r="C92" s="14"/>
      <c r="D92" s="17"/>
      <c r="E92" s="21"/>
      <c r="F92" s="22">
        <f>SUM(F93:F99)</f>
        <v>182.1</v>
      </c>
    </row>
    <row r="93" spans="1:6">
      <c r="A93" s="14" t="s">
        <v>100</v>
      </c>
      <c r="B93" s="15" t="s">
        <v>199</v>
      </c>
      <c r="C93" s="14" t="s">
        <v>29</v>
      </c>
      <c r="D93" s="17">
        <v>2547</v>
      </c>
      <c r="E93" s="21">
        <v>379.3</v>
      </c>
      <c r="F93" s="22">
        <v>96.61</v>
      </c>
    </row>
    <row r="94" spans="1:6">
      <c r="A94" s="14" t="s">
        <v>102</v>
      </c>
      <c r="B94" s="15" t="s">
        <v>200</v>
      </c>
      <c r="C94" s="14" t="s">
        <v>29</v>
      </c>
      <c r="D94" s="17">
        <v>3126</v>
      </c>
      <c r="E94" s="21">
        <v>67.48</v>
      </c>
      <c r="F94" s="22">
        <v>21.09</v>
      </c>
    </row>
    <row r="95" spans="1:6">
      <c r="A95" s="14" t="s">
        <v>194</v>
      </c>
      <c r="B95" s="15" t="s">
        <v>201</v>
      </c>
      <c r="C95" s="14" t="s">
        <v>19</v>
      </c>
      <c r="D95" s="17">
        <v>56</v>
      </c>
      <c r="E95" s="21">
        <v>3429.62</v>
      </c>
      <c r="F95" s="22">
        <v>19.21</v>
      </c>
    </row>
    <row r="96" spans="1:6">
      <c r="A96" s="14" t="s">
        <v>202</v>
      </c>
      <c r="B96" s="15" t="s">
        <v>252</v>
      </c>
      <c r="C96" s="14" t="s">
        <v>29</v>
      </c>
      <c r="D96" s="17">
        <v>485</v>
      </c>
      <c r="E96" s="21">
        <v>98.07</v>
      </c>
      <c r="F96" s="22">
        <v>4.76</v>
      </c>
    </row>
    <row r="97" spans="1:6">
      <c r="A97" s="14" t="s">
        <v>204</v>
      </c>
      <c r="B97" s="15" t="s">
        <v>253</v>
      </c>
      <c r="C97" s="14" t="s">
        <v>29</v>
      </c>
      <c r="D97" s="17">
        <v>82.44</v>
      </c>
      <c r="E97" s="21">
        <v>492.22</v>
      </c>
      <c r="F97" s="22">
        <v>4.06</v>
      </c>
    </row>
    <row r="98" spans="1:6">
      <c r="A98" s="14" t="s">
        <v>207</v>
      </c>
      <c r="B98" s="15" t="s">
        <v>208</v>
      </c>
      <c r="C98" s="14" t="s">
        <v>206</v>
      </c>
      <c r="D98" s="17">
        <v>37</v>
      </c>
      <c r="E98" s="21">
        <v>8498.57</v>
      </c>
      <c r="F98" s="22">
        <v>31.44</v>
      </c>
    </row>
    <row r="99" spans="1:6">
      <c r="A99" s="14" t="s">
        <v>231</v>
      </c>
      <c r="B99" s="15" t="s">
        <v>205</v>
      </c>
      <c r="C99" s="14" t="s">
        <v>206</v>
      </c>
      <c r="D99" s="17">
        <v>284</v>
      </c>
      <c r="E99" s="21">
        <v>173.64</v>
      </c>
      <c r="F99" s="22">
        <v>4.93</v>
      </c>
    </row>
    <row r="100" spans="1:6">
      <c r="A100" s="14" t="s">
        <v>58</v>
      </c>
      <c r="B100" s="15" t="s">
        <v>209</v>
      </c>
      <c r="C100" s="14"/>
      <c r="D100" s="17"/>
      <c r="E100" s="21"/>
      <c r="F100" s="22">
        <f>SUM(F101:F106)</f>
        <v>58.23</v>
      </c>
    </row>
    <row r="101" spans="1:6">
      <c r="A101" s="14" t="s">
        <v>17</v>
      </c>
      <c r="B101" s="15" t="s">
        <v>212</v>
      </c>
      <c r="C101" s="14" t="s">
        <v>254</v>
      </c>
      <c r="D101" s="17">
        <v>1854</v>
      </c>
      <c r="E101" s="21">
        <v>221.31</v>
      </c>
      <c r="F101" s="22">
        <v>41.03</v>
      </c>
    </row>
    <row r="102" spans="1:6">
      <c r="A102" s="14" t="s">
        <v>20</v>
      </c>
      <c r="B102" s="15" t="s">
        <v>238</v>
      </c>
      <c r="C102" s="14" t="s">
        <v>254</v>
      </c>
      <c r="D102" s="17">
        <v>138</v>
      </c>
      <c r="E102" s="21">
        <v>196.9</v>
      </c>
      <c r="F102" s="22">
        <v>2.72</v>
      </c>
    </row>
    <row r="103" spans="1:6">
      <c r="A103" s="14" t="s">
        <v>22</v>
      </c>
      <c r="B103" s="15" t="s">
        <v>255</v>
      </c>
      <c r="C103" s="14" t="s">
        <v>254</v>
      </c>
      <c r="D103" s="17">
        <v>248</v>
      </c>
      <c r="E103" s="21">
        <v>220.18</v>
      </c>
      <c r="F103" s="22">
        <v>5.46</v>
      </c>
    </row>
    <row r="104" spans="1:6">
      <c r="A104" s="14" t="s">
        <v>25</v>
      </c>
      <c r="B104" s="15" t="s">
        <v>215</v>
      </c>
      <c r="C104" s="14" t="s">
        <v>254</v>
      </c>
      <c r="D104" s="17">
        <v>108</v>
      </c>
      <c r="E104" s="21">
        <v>309.38</v>
      </c>
      <c r="F104" s="22">
        <v>3.34</v>
      </c>
    </row>
    <row r="105" spans="1:6">
      <c r="A105" s="14" t="s">
        <v>50</v>
      </c>
      <c r="B105" s="15" t="s">
        <v>256</v>
      </c>
      <c r="C105" s="14" t="s">
        <v>254</v>
      </c>
      <c r="D105" s="17">
        <v>27</v>
      </c>
      <c r="E105" s="21">
        <v>308.2</v>
      </c>
      <c r="F105" s="22">
        <v>0.83</v>
      </c>
    </row>
    <row r="106" spans="1:6">
      <c r="A106" s="14" t="s">
        <v>257</v>
      </c>
      <c r="B106" s="15" t="s">
        <v>239</v>
      </c>
      <c r="C106" s="14" t="s">
        <v>254</v>
      </c>
      <c r="D106" s="17">
        <v>156</v>
      </c>
      <c r="E106" s="21">
        <v>311.21</v>
      </c>
      <c r="F106" s="22">
        <v>4.85</v>
      </c>
    </row>
    <row r="107" spans="1:6">
      <c r="A107" s="14" t="s">
        <v>216</v>
      </c>
      <c r="B107" s="15" t="s">
        <v>217</v>
      </c>
      <c r="C107" s="14"/>
      <c r="D107" s="17"/>
      <c r="E107" s="21"/>
      <c r="F107" s="22">
        <v>0.33</v>
      </c>
    </row>
    <row r="108" spans="1:6">
      <c r="A108" s="14">
        <v>1</v>
      </c>
      <c r="B108" s="15" t="s">
        <v>217</v>
      </c>
      <c r="C108" s="14" t="s">
        <v>76</v>
      </c>
      <c r="D108" s="17">
        <v>1</v>
      </c>
      <c r="E108" s="21">
        <v>3333.33</v>
      </c>
      <c r="F108" s="22">
        <v>0.33</v>
      </c>
    </row>
    <row r="109" spans="1:6">
      <c r="A109" s="23" t="s">
        <v>82</v>
      </c>
      <c r="B109" s="24" t="s">
        <v>86</v>
      </c>
      <c r="C109" s="25"/>
      <c r="D109" s="26"/>
      <c r="E109" s="26"/>
      <c r="F109" s="35">
        <f>SUM(F110:F116)</f>
        <v>113.35</v>
      </c>
    </row>
    <row r="110" spans="1:6">
      <c r="A110" s="27">
        <v>1</v>
      </c>
      <c r="B110" s="28" t="s">
        <v>258</v>
      </c>
      <c r="C110" s="29"/>
      <c r="D110" s="17"/>
      <c r="E110" s="17"/>
      <c r="F110" s="22">
        <v>6.82</v>
      </c>
    </row>
    <row r="111" spans="1:6">
      <c r="A111" s="27">
        <v>2</v>
      </c>
      <c r="B111" s="30" t="s">
        <v>95</v>
      </c>
      <c r="C111" s="29"/>
      <c r="D111" s="17"/>
      <c r="E111" s="17"/>
      <c r="F111" s="22">
        <v>7.05</v>
      </c>
    </row>
    <row r="112" spans="1:6">
      <c r="A112" s="27">
        <v>3</v>
      </c>
      <c r="B112" s="28" t="s">
        <v>259</v>
      </c>
      <c r="C112" s="29"/>
      <c r="D112" s="17"/>
      <c r="E112" s="17"/>
      <c r="F112" s="22">
        <v>28.14</v>
      </c>
    </row>
    <row r="113" spans="1:6">
      <c r="A113" s="27">
        <v>4</v>
      </c>
      <c r="B113" s="28" t="s">
        <v>260</v>
      </c>
      <c r="C113" s="29"/>
      <c r="D113" s="17"/>
      <c r="E113" s="17"/>
      <c r="F113" s="22">
        <v>8.64</v>
      </c>
    </row>
    <row r="114" spans="1:6">
      <c r="A114" s="27">
        <v>5</v>
      </c>
      <c r="B114" s="28" t="s">
        <v>261</v>
      </c>
      <c r="C114" s="29"/>
      <c r="D114" s="17"/>
      <c r="E114" s="17"/>
      <c r="F114" s="22">
        <v>13.63</v>
      </c>
    </row>
    <row r="115" spans="1:6">
      <c r="A115" s="27">
        <v>6</v>
      </c>
      <c r="B115" s="28" t="s">
        <v>262</v>
      </c>
      <c r="C115" s="29"/>
      <c r="D115" s="17"/>
      <c r="E115" s="17"/>
      <c r="F115" s="22">
        <v>45.81</v>
      </c>
    </row>
    <row r="116" spans="1:6">
      <c r="A116" s="27">
        <v>7</v>
      </c>
      <c r="B116" s="28" t="s">
        <v>105</v>
      </c>
      <c r="C116" s="29"/>
      <c r="D116" s="17"/>
      <c r="E116" s="17"/>
      <c r="F116" s="22">
        <v>3.26</v>
      </c>
    </row>
    <row r="117" spans="1:6">
      <c r="A117" s="23"/>
      <c r="B117" s="31" t="s">
        <v>134</v>
      </c>
      <c r="C117" s="32" t="s">
        <v>14</v>
      </c>
      <c r="D117" s="33">
        <v>1573</v>
      </c>
      <c r="E117" s="36">
        <f>F117/D117*10000</f>
        <v>9007.12</v>
      </c>
      <c r="F117" s="35">
        <f>F109+F69+F32+F5</f>
        <v>1416.82</v>
      </c>
    </row>
  </sheetData>
  <mergeCells count="1">
    <mergeCell ref="A2:F2"/>
  </mergeCells>
  <pageMargins left="0.515277777777778" right="0.515277777777778" top="1" bottom="1" header="0.511805555555556" footer="0.511805555555556"/>
  <pageSetup paperSize="9" scale="99" fitToHeight="0" orientation="portrait" horizontalDpi="600"/>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4</vt:i4>
      </vt:variant>
    </vt:vector>
  </HeadingPairs>
  <TitlesOfParts>
    <vt:vector size="4" baseType="lpstr">
      <vt:lpstr>6#7#</vt:lpstr>
      <vt:lpstr>项目投资概算及资金来源表</vt:lpstr>
      <vt:lpstr>造价服务及招标代理</vt:lpstr>
      <vt:lpstr>闵行浦江镇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user</cp:lastModifiedBy>
  <dcterms:created xsi:type="dcterms:W3CDTF">2019-12-13T22:46:00Z</dcterms:created>
  <cp:lastPrinted>2022-09-19T23:21:00Z</cp:lastPrinted>
  <dcterms:modified xsi:type="dcterms:W3CDTF">2025-06-23T14:33:33Z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y fmtid="{D5CDD505-2E9C-101B-9397-08002B2CF9AE}" pid="3" name="ICV">
    <vt:lpwstr>14EAC598B4D8429FA7AD0D49D1812087</vt:lpwstr>
  </property>
</Properties>
</file>